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 RIOJA\"/>
    </mc:Choice>
  </mc:AlternateContent>
  <workbookProtection workbookAlgorithmName="SHA-512" workbookHashValue="KqMTueiu/o2JiEhNkZFsyKYDx30ivheiwZxNmE0pVuBOBk/R7hR6IL5nSeePhFsyJ4GPEwQAvOHv6teSJebmVA==" workbookSaltValue="4YmBLS+qbsQdJQwSWvP1wA=="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W19" i="8" s="1"/>
  <c r="V18" i="8"/>
  <c r="U18" i="8"/>
  <c r="T18" i="8"/>
  <c r="S18" i="8"/>
  <c r="R18" i="8"/>
  <c r="Q18" i="8"/>
  <c r="BM18" i="16" s="1"/>
  <c r="P18" i="8"/>
  <c r="O18" i="8"/>
  <c r="O19" i="8" s="1"/>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L19" i="8" s="1"/>
  <c r="AK13" i="8"/>
  <c r="AJ13" i="8"/>
  <c r="T13" i="12" s="1"/>
  <c r="AI13" i="8"/>
  <c r="AH13" i="8"/>
  <c r="R13" i="12" s="1"/>
  <c r="AG13" i="8"/>
  <c r="Q13" i="12" s="1"/>
  <c r="AF13" i="8"/>
  <c r="AE13" i="8"/>
  <c r="AD13" i="8"/>
  <c r="AC13" i="8"/>
  <c r="AB13" i="8"/>
  <c r="AA13" i="8"/>
  <c r="Z13" i="8"/>
  <c r="Y13" i="8"/>
  <c r="X13" i="8"/>
  <c r="W13" i="8"/>
  <c r="V13" i="8"/>
  <c r="U13" i="8"/>
  <c r="T13" i="8"/>
  <c r="S13" i="8"/>
  <c r="R13" i="8"/>
  <c r="Q13" i="8"/>
  <c r="P13" i="8"/>
  <c r="O13" i="8"/>
  <c r="N13" i="8"/>
  <c r="M13" i="8"/>
  <c r="L13" i="8"/>
  <c r="L19" i="8" s="1"/>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E9" i="8" s="1"/>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R13" i="21"/>
  <c r="BF17" i="8"/>
  <c r="B13" i="7"/>
  <c r="E18" i="12"/>
  <c r="ER19" i="8"/>
  <c r="AE13" i="21"/>
  <c r="EL19" i="8"/>
  <c r="BE12" i="21"/>
  <c r="EQ19" i="8"/>
  <c r="EN19" i="8"/>
  <c r="E15" i="3"/>
  <c r="BA13" i="16"/>
  <c r="E17" i="3"/>
  <c r="F16" i="10"/>
  <c r="E10" i="6"/>
  <c r="ES19" i="8"/>
  <c r="G18" i="12"/>
  <c r="C18" i="7"/>
  <c r="R19" i="8"/>
  <c r="EP19" i="8"/>
  <c r="EP19" i="19"/>
  <c r="S13" i="16"/>
  <c r="P13" i="16"/>
  <c r="W13" i="20"/>
  <c r="AO12" i="11"/>
  <c r="B12" i="6"/>
  <c r="H13" i="12"/>
  <c r="F13" i="7"/>
  <c r="T13" i="16"/>
  <c r="BD9" i="8"/>
  <c r="I19" i="8"/>
  <c r="AP13" i="16"/>
  <c r="T18" i="17"/>
  <c r="BF15" i="13"/>
  <c r="BE16" i="13"/>
  <c r="BF16" i="13"/>
  <c r="Z20" i="20"/>
  <c r="H20" i="20"/>
  <c r="AK20" i="20"/>
  <c r="T20" i="20"/>
  <c r="O16" i="11"/>
  <c r="G18" i="14"/>
  <c r="AV18" i="21" l="1"/>
  <c r="BD12" i="8"/>
  <c r="H12" i="7" s="1"/>
  <c r="BE12" i="8"/>
  <c r="F11" i="11"/>
  <c r="AQ11" i="11" s="1"/>
  <c r="L11" i="14"/>
  <c r="AJ19" i="8"/>
  <c r="AG19" i="8"/>
  <c r="AY13" i="8"/>
  <c r="AE13" i="17"/>
  <c r="BE15" i="13"/>
  <c r="R8" i="9"/>
  <c r="X12" i="17" s="1"/>
  <c r="T17" i="20"/>
  <c r="X16" i="20"/>
  <c r="L9" i="2"/>
  <c r="X9" i="16"/>
  <c r="X19" i="16" s="1"/>
  <c r="R10" i="14"/>
  <c r="R16" i="14"/>
  <c r="S15" i="14"/>
  <c r="V15" i="14" s="1"/>
  <c r="X16" i="17"/>
  <c r="AA15" i="16"/>
  <c r="AA9" i="16"/>
  <c r="V15" i="16"/>
  <c r="S11" i="17"/>
  <c r="X10" i="21"/>
  <c r="S16" i="17"/>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I11" i="7" s="1"/>
  <c r="BG12" i="8"/>
  <c r="K12" i="7" s="1"/>
  <c r="BE15" i="8"/>
  <c r="BD16" i="8"/>
  <c r="AO17" i="17"/>
  <c r="AC19" i="17"/>
  <c r="BN18" i="16"/>
  <c r="BN19" i="16" s="1"/>
  <c r="F11" i="16"/>
  <c r="AH13" i="16"/>
  <c r="M13" i="2"/>
  <c r="AP15" i="11"/>
  <c r="AP11" i="11"/>
  <c r="H12" i="2"/>
  <c r="J9" i="2"/>
  <c r="BB19" i="19"/>
  <c r="AP13" i="20"/>
  <c r="AS13" i="21"/>
  <c r="AO18" i="20"/>
  <c r="ER19" i="19"/>
  <c r="AB19" i="13"/>
  <c r="BG11" i="13"/>
  <c r="BA18" i="13"/>
  <c r="AY13" i="13"/>
  <c r="BF9" i="8"/>
  <c r="AL17" i="11"/>
  <c r="C17" i="6"/>
  <c r="F16" i="17"/>
  <c r="F17" i="17"/>
  <c r="AQ17" i="17" s="1"/>
  <c r="H18" i="16"/>
  <c r="C12" i="14"/>
  <c r="K12" i="14" s="1"/>
  <c r="F15" i="11"/>
  <c r="AQ15" i="11" s="1"/>
  <c r="F11" i="12"/>
  <c r="Y12" i="11"/>
  <c r="R18" i="11"/>
  <c r="C13" i="5"/>
  <c r="K15" i="7"/>
  <c r="AM15" i="11"/>
  <c r="L17" i="14"/>
  <c r="I12" i="7"/>
  <c r="F17" i="2"/>
  <c r="Z19" i="19"/>
  <c r="U19" i="19"/>
  <c r="AR13" i="20"/>
  <c r="P19" i="19"/>
  <c r="AB19" i="19"/>
  <c r="BE11" i="13"/>
  <c r="V19" i="13"/>
  <c r="AQ19" i="13"/>
  <c r="BC18" i="13"/>
  <c r="BD17" i="13"/>
  <c r="BF9" i="13"/>
  <c r="J17" i="7"/>
  <c r="D17" i="6"/>
  <c r="J17" i="12" s="1"/>
  <c r="J17" i="10"/>
  <c r="L17" i="10" s="1"/>
  <c r="BF12" i="8"/>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C10" i="6"/>
  <c r="W13" i="17"/>
  <c r="F15" i="17"/>
  <c r="AQ15" i="17" s="1"/>
  <c r="AT18" i="17"/>
  <c r="AF13" i="21"/>
  <c r="AF19" i="21" s="1"/>
  <c r="AB21" i="21"/>
  <c r="F12" i="21"/>
  <c r="AO13" i="21"/>
  <c r="N13" i="2"/>
  <c r="C10" i="14"/>
  <c r="K10" i="14" s="1"/>
  <c r="F9" i="12"/>
  <c r="G9" i="12"/>
  <c r="E9" i="12"/>
  <c r="D9" i="12"/>
  <c r="AP10" i="11"/>
  <c r="F17" i="11"/>
  <c r="AQ17" i="11" s="1"/>
  <c r="AE13" i="11"/>
  <c r="AH13" i="11"/>
  <c r="F9" i="11"/>
  <c r="AP9" i="11"/>
  <c r="Y11" i="11"/>
  <c r="Y17" i="11"/>
  <c r="J12" i="7"/>
  <c r="D12" i="6"/>
  <c r="G12" i="3"/>
  <c r="G10" i="3"/>
  <c r="D16" i="6"/>
  <c r="E18" i="2"/>
  <c r="C16" i="6"/>
  <c r="I9" i="7"/>
  <c r="I18" i="2"/>
  <c r="G18" i="2"/>
  <c r="B16" i="6"/>
  <c r="N18" i="2"/>
  <c r="T10" i="2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K17" i="7" s="1"/>
  <c r="F9" i="2"/>
  <c r="AO9" i="11"/>
  <c r="E13" i="2"/>
  <c r="F13" i="2" s="1"/>
  <c r="C9" i="6"/>
  <c r="I9" i="12" s="1"/>
  <c r="D11" i="2"/>
  <c r="E11" i="6"/>
  <c r="E9" i="6"/>
  <c r="AL19" i="16"/>
  <c r="BA13" i="8"/>
  <c r="BD15" i="8"/>
  <c r="H15" i="7" s="1"/>
  <c r="AO16" i="17"/>
  <c r="I13" i="2"/>
  <c r="J13" i="2" s="1"/>
  <c r="D17" i="2"/>
  <c r="AO11" i="11"/>
  <c r="AL11" i="11"/>
  <c r="F12" i="11"/>
  <c r="AQ12" i="11" s="1"/>
  <c r="BF16" i="8"/>
  <c r="AB19" i="8"/>
  <c r="X19" i="8"/>
  <c r="B11" i="6"/>
  <c r="L12" i="14"/>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U12" i="11"/>
  <c r="W20" i="21"/>
  <c r="I20" i="20"/>
  <c r="U16" i="11"/>
  <c r="AX20" i="20"/>
  <c r="Y20" i="20"/>
  <c r="O10" i="11"/>
  <c r="AM20" i="20"/>
  <c r="Q20" i="20"/>
  <c r="AB20" i="20"/>
  <c r="AI20" i="20"/>
  <c r="AZ20" i="20"/>
  <c r="AV20" i="20"/>
  <c r="AU20" i="20"/>
  <c r="M20" i="20"/>
  <c r="AQ20" i="21"/>
  <c r="AP20" i="20"/>
  <c r="AH20" i="20"/>
  <c r="N20" i="20"/>
  <c r="AD20" i="20"/>
  <c r="AE20" i="20"/>
  <c r="AG20" i="20"/>
  <c r="T20" i="21"/>
  <c r="I12" i="12" l="1"/>
  <c r="BF18" i="13"/>
  <c r="S10" i="14"/>
  <c r="V10" i="14" s="1"/>
  <c r="L15" i="2"/>
  <c r="V9" i="16"/>
  <c r="U10" i="21"/>
  <c r="X12" i="21"/>
  <c r="AP16" i="20"/>
  <c r="BH9" i="16"/>
  <c r="V15" i="11"/>
  <c r="BJ17" i="11"/>
  <c r="BH15" i="11"/>
  <c r="BH15" i="16"/>
  <c r="Q17" i="20"/>
  <c r="Q18" i="20" s="1"/>
  <c r="BL17" i="11"/>
  <c r="BK12" i="11"/>
  <c r="BF10" i="11"/>
  <c r="BK9" i="11"/>
  <c r="X11" i="17"/>
  <c r="BK15" i="11"/>
  <c r="X9" i="17"/>
  <c r="AZ17" i="11"/>
  <c r="BI10" i="11"/>
  <c r="Q10" i="21"/>
  <c r="V9" i="11"/>
  <c r="BJ11" i="11"/>
  <c r="R10" i="21"/>
  <c r="BI17" i="11"/>
  <c r="BG9" i="11"/>
  <c r="BL11" i="11"/>
  <c r="BH17" i="11"/>
  <c r="BM15" i="11"/>
  <c r="T17" i="16"/>
  <c r="T15" i="16"/>
  <c r="BU15" i="17"/>
  <c r="BW9" i="20"/>
  <c r="BW17" i="20"/>
  <c r="BV16" i="16"/>
  <c r="BW16" i="20"/>
  <c r="BV15" i="16"/>
  <c r="BW15" i="20"/>
  <c r="BU9" i="17"/>
  <c r="BV10" i="16"/>
  <c r="BU17" i="17"/>
  <c r="BU16" i="17"/>
  <c r="BV9" i="16"/>
  <c r="AZ12" i="11"/>
  <c r="T15" i="11"/>
  <c r="T16" i="11"/>
  <c r="BG12" i="11"/>
  <c r="Q17" i="17"/>
  <c r="BH10" i="11"/>
  <c r="BI9" i="11"/>
  <c r="AQ10" i="21"/>
  <c r="BJ10" i="11"/>
  <c r="BK16" i="11"/>
  <c r="BH11" i="11"/>
  <c r="BG16" i="11"/>
  <c r="T11" i="11"/>
  <c r="BH16" i="11"/>
  <c r="AQ12" i="21"/>
  <c r="BJ16" i="11"/>
  <c r="BL16" i="11"/>
  <c r="L12" i="2"/>
  <c r="U9" i="17"/>
  <c r="U19" i="17" s="1"/>
  <c r="BF11" i="11"/>
  <c r="BL9" i="11"/>
  <c r="BG10" i="11"/>
  <c r="P17" i="17"/>
  <c r="BF16" i="11"/>
  <c r="BL12" i="11"/>
  <c r="V12" i="21"/>
  <c r="BK11" i="11"/>
  <c r="AP10" i="21"/>
  <c r="BH9" i="11"/>
  <c r="BJ15" i="11"/>
  <c r="AP15" i="20"/>
  <c r="R17" i="20"/>
  <c r="R18" i="20" s="1"/>
  <c r="AZ9" i="11"/>
  <c r="AZ15" i="11"/>
  <c r="AZ18" i="11" s="1"/>
  <c r="BV17" i="16"/>
  <c r="BV12" i="16"/>
  <c r="BV11" i="16"/>
  <c r="U10" i="17"/>
  <c r="V12" i="16"/>
  <c r="AA16" i="16"/>
  <c r="AZ16" i="11"/>
  <c r="AZ11" i="11"/>
  <c r="S15" i="16"/>
  <c r="BF12" i="11"/>
  <c r="BL10" i="11"/>
  <c r="Q15" i="17"/>
  <c r="BF15" i="11"/>
  <c r="BM9" i="11"/>
  <c r="BK10" i="11"/>
  <c r="X15" i="16"/>
  <c r="X18" i="16" s="1"/>
  <c r="T9" i="11"/>
  <c r="BH11" i="16"/>
  <c r="BH17" i="16"/>
  <c r="BM16" i="11"/>
  <c r="BF17" i="11"/>
  <c r="S17" i="16"/>
  <c r="V17" i="16"/>
  <c r="V11" i="11"/>
  <c r="BM12" i="11"/>
  <c r="BI15" i="11"/>
  <c r="BJ12" i="11"/>
  <c r="BG15" i="11"/>
  <c r="BK17" i="11"/>
  <c r="AP17" i="20"/>
  <c r="BU11" i="17"/>
  <c r="BU10" i="17"/>
  <c r="BW12" i="20"/>
  <c r="BW11" i="20"/>
  <c r="BW10" i="20"/>
  <c r="BU12" i="17"/>
  <c r="S11" i="14"/>
  <c r="V11" i="14" s="1"/>
  <c r="X17" i="17"/>
  <c r="P15" i="17"/>
  <c r="P18" i="17" s="1"/>
  <c r="P19" i="17" s="1"/>
  <c r="BL15" i="11"/>
  <c r="BH10" i="16"/>
  <c r="BM17" i="11"/>
  <c r="S17" i="17"/>
  <c r="BH12" i="16"/>
  <c r="L10" i="2"/>
  <c r="S15" i="17"/>
  <c r="V10" i="16"/>
  <c r="R17" i="14"/>
  <c r="S16" i="14"/>
  <c r="V16" i="14" s="1"/>
  <c r="X13" i="20"/>
  <c r="AM12" i="11"/>
  <c r="AM11" i="11"/>
  <c r="AM9" i="11"/>
  <c r="AO10" i="17"/>
  <c r="AO9" i="17"/>
  <c r="V10" i="21"/>
  <c r="X13" i="17"/>
  <c r="AQ13" i="21"/>
  <c r="AO15" i="17"/>
  <c r="X12" i="16"/>
  <c r="L16" i="2"/>
  <c r="S9" i="17"/>
  <c r="AA11" i="16"/>
  <c r="X15" i="17"/>
  <c r="X10" i="17"/>
  <c r="T17" i="11"/>
  <c r="S9" i="14"/>
  <c r="V9" i="14" s="1"/>
  <c r="R12" i="14"/>
  <c r="S17" i="14"/>
  <c r="V17" i="14" s="1"/>
  <c r="V15" i="20"/>
  <c r="V18" i="20" s="1"/>
  <c r="L17" i="2"/>
  <c r="L11" i="2"/>
  <c r="V11" i="16"/>
  <c r="S10" i="17"/>
  <c r="AA12" i="21"/>
  <c r="X17" i="20"/>
  <c r="AA17" i="16"/>
  <c r="AA10" i="16"/>
  <c r="T12" i="11"/>
  <c r="R11" i="14"/>
  <c r="S12" i="14"/>
  <c r="V12" i="14" s="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8" i="16" l="1"/>
  <c r="Q9" i="11"/>
  <c r="AZ19" i="11"/>
  <c r="AZ13" i="11"/>
  <c r="R13" i="21"/>
  <c r="R19" i="21" s="1"/>
  <c r="BJ18" i="11"/>
  <c r="S19" i="16"/>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BI18" i="16" s="1"/>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N20" i="20"/>
  <c r="AV20" i="21"/>
  <c r="O17" i="11"/>
  <c r="AO20" i="20"/>
  <c r="H20" i="17"/>
  <c r="AW20" i="11"/>
  <c r="P12" i="11" l="1"/>
  <c r="J11" i="12"/>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BI20" i="16"/>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O20" i="17"/>
  <c r="I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<sst xmlns="http://schemas.openxmlformats.org/spreadsheetml/2006/main" count="2066" uniqueCount="904">
  <si>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</si>
  <si>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</si>
  <si>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</si>
  <si>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</si>
  <si>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</si>
  <si>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</si>
  <si>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</si>
  <si>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</si>
  <si>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</si>
  <si>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</si>
  <si>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</si>
  <si>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</si>
  <si>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</si>
  <si>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</si>
  <si>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</si>
  <si>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</si>
  <si>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</si>
  <si>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</si>
  <si>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</si>
  <si>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</si>
  <si>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</si>
  <si>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</si>
  <si>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</si>
  <si>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</si>
  <si>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</si>
  <si>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</si>
  <si>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</si>
  <si>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</si>
  <si>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</si>
  <si>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</si>
  <si>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</si>
  <si>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</si>
  <si>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</si>
  <si>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</si>
  <si>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</si>
  <si>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</si>
  <si>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</si>
  <si>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</si>
  <si>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</si>
  <si>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</si>
  <si>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</si>
  <si>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</si>
  <si>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</si>
  <si>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</si>
  <si>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</si>
  <si>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</si>
  <si>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</si>
  <si>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</si>
  <si>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</si>
  <si>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</si>
  <si>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</si>
  <si>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</si>
  <si>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</si>
  <si>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</si>
  <si>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</si>
  <si>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</si>
  <si>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</si>
  <si>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</si>
  <si>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</si>
  <si>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</si>
  <si>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</si>
  <si>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</si>
  <si>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</si>
  <si>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</si>
  <si>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</si>
  <si>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</si>
  <si>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</si>
  <si>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</si>
  <si>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</si>
  <si>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</si>
  <si>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</si>
  <si>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</si>
  <si>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</si>
  <si>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</si>
  <si>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</si>
  <si>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</si>
  <si>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</si>
  <si>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</si>
  <si>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</si>
  <si>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</si>
  <si>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</si>
  <si>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</si>
  <si>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</si>
  <si>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</si>
  <si>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</si>
  <si>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</si>
  <si>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</si>
  <si>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</si>
  <si>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</si>
  <si>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</si>
  <si>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</si>
  <si>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</si>
  <si>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</si>
  <si>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</si>
  <si>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</si>
  <si>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</si>
  <si>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</si>
  <si>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</si>
  <si>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</si>
  <si>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</si>
  <si>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</si>
  <si>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</si>
  <si>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</si>
  <si>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</si>
  <si>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</si>
  <si>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</si>
  <si>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</si>
  <si>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</si>
  <si>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</si>
  <si>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</si>
  <si>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</si>
  <si>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</si>
  <si>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</si>
  <si>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</si>
  <si>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</si>
  <si>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</si>
  <si>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</si>
  <si>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</si>
  <si>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</si>
  <si>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</si>
  <si>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</si>
  <si>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</si>
  <si>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</si>
  <si>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</si>
  <si>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</si>
  <si>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</si>
  <si>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</si>
  <si>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</si>
  <si>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</si>
  <si>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</si>
  <si>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</si>
  <si>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</si>
  <si>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</si>
  <si>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</si>
  <si>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</si>
  <si>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</si>
  <si>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</si>
  <si>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</si>
  <si>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</si>
  <si>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</si>
  <si>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</si>
  <si>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</si>
  <si>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</si>
  <si>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</si>
  <si>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</si>
  <si>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</si>
  <si>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</si>
  <si>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</si>
  <si>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</si>
  <si>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</si>
  <si>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</si>
  <si>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</si>
  <si>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</si>
  <si>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</si>
  <si>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</si>
  <si>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</si>
  <si>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</si>
  <si>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</si>
  <si>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</si>
  <si>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</si>
  <si>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</si>
  <si>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</si>
  <si>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</si>
  <si>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</si>
  <si>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</si>
  <si>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</si>
  <si>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</si>
  <si>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</si>
  <si>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</si>
  <si>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</si>
  <si>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</si>
  <si>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</si>
  <si>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</si>
  <si>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</si>
  <si>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</si>
  <si>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</si>
  <si>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</si>
  <si>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</si>
  <si>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</si>
  <si>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</si>
  <si>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</si>
  <si>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</si>
  <si>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</si>
  <si>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</si>
  <si>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</si>
  <si>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</si>
  <si>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</si>
  <si>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</si>
  <si>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</si>
  <si>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</si>
  <si>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</si>
  <si>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</si>
  <si>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</si>
  <si>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</si>
  <si>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</si>
  <si>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</si>
  <si>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</si>
  <si>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</si>
  <si>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</si>
  <si>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</si>
  <si>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</si>
  <si>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</si>
  <si>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</si>
  <si>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</si>
  <si>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</si>
  <si>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</si>
  <si>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</si>
  <si>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</si>
  <si>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</si>
  <si>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</si>
  <si>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</si>
  <si>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</si>
  <si>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</si>
  <si>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</si>
  <si>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</si>
  <si>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</si>
  <si>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</si>
  <si>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</si>
  <si>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</si>
  <si>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</si>
  <si>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</si>
  <si>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</si>
  <si>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</si>
  <si>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</si>
  <si>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</si>
  <si>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</si>
  <si>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</si>
  <si>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</si>
  <si>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</si>
  <si>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</si>
  <si>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</si>
  <si>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</si>
  <si>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</si>
  <si>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</si>
  <si>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</si>
  <si>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</si>
  <si>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</si>
  <si>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</si>
  <si>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</si>
  <si>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</si>
  <si>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</si>
  <si>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</si>
  <si>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</si>
  <si>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</si>
  <si>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</si>
  <si>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</si>
  <si>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</si>
  <si>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</si>
  <si>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</si>
  <si>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</si>
  <si>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</si>
  <si>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</si>
  <si>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</si>
  <si>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</si>
  <si>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</si>
  <si>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</si>
  <si>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</si>
  <si>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</si>
  <si>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</si>
  <si>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</si>
  <si>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</si>
  <si>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</si>
  <si>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</si>
  <si>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</si>
  <si>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</si>
  <si>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</si>
  <si>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</si>
  <si>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</si>
  <si>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</si>
  <si>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</si>
  <si>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</si>
  <si>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</si>
  <si>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</si>
  <si>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</si>
  <si>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</si>
  <si>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</si>
  <si>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</si>
  <si>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</si>
  <si>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</si>
  <si>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</si>
  <si>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</si>
  <si>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</si>
  <si>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</si>
  <si>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</si>
  <si>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</si>
  <si>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</si>
  <si>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</si>
  <si>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</si>
  <si>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</si>
  <si>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</si>
  <si>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</si>
  <si>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</si>
  <si>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</si>
  <si>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</si>
  <si>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</si>
  <si>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</si>
  <si>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</si>
  <si>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</si>
  <si>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</si>
  <si>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</si>
  <si>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</si>
  <si>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</si>
  <si>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</si>
  <si>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</si>
  <si>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</si>
  <si>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</si>
  <si>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</si>
  <si>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</si>
  <si>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</si>
  <si>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</si>
  <si>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</si>
  <si>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</si>
  <si>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</si>
  <si>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</si>
  <si>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</si>
  <si>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</si>
  <si>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</si>
  <si>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</si>
  <si>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</si>
  <si>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</si>
  <si>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</si>
  <si>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</si>
  <si>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</si>
  <si>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</si>
  <si>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</si>
  <si>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</si>
  <si>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</si>
  <si>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</si>
  <si>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</si>
  <si>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</si>
  <si>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</si>
  <si>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</si>
  <si>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</si>
  <si>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</si>
  <si>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</si>
  <si>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</si>
  <si>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</si>
  <si>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</si>
  <si>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</si>
  <si>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</si>
  <si>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</si>
  <si>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</si>
  <si>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</si>
  <si>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</si>
  <si>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</si>
  <si>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</si>
  <si>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</si>
  <si>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</si>
  <si>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</si>
  <si>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</si>
  <si>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</si>
  <si>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</si>
  <si>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</si>
  <si>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</si>
  <si>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</si>
  <si>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</si>
  <si>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</si>
  <si>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</si>
  <si>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</si>
  <si>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</si>
  <si>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</si>
  <si>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</si>
  <si>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</si>
  <si>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</si>
  <si>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</si>
  <si>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</si>
  <si>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</si>
  <si>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</si>
  <si>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</si>
  <si>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</si>
  <si>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</si>
  <si>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</si>
  <si>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</si>
  <si>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</si>
  <si>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</si>
  <si>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</si>
  <si>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</si>
  <si>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</si>
  <si>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</si>
  <si>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</si>
  <si>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</si>
  <si>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</si>
  <si>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</si>
  <si>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</si>
  <si>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</si>
  <si>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</si>
  <si>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</si>
  <si>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</si>
  <si>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</si>
  <si>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</si>
  <si>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</si>
  <si>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</si>
  <si>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</si>
  <si>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</si>
  <si>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</si>
  <si>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</si>
  <si>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</si>
  <si>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</si>
  <si>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</si>
  <si>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</si>
  <si>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</si>
  <si>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</si>
  <si>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</si>
  <si>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</si>
  <si>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</si>
  <si>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</si>
  <si>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</si>
  <si>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</si>
  <si>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</si>
  <si>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</si>
  <si>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</si>
  <si>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</si>
  <si>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</si>
  <si>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</si>
  <si>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</si>
  <si>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</si>
  <si>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</si>
  <si>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</si>
  <si>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</si>
  <si>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</si>
  <si>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</si>
  <si>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</si>
  <si>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</si>
  <si>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</si>
  <si>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</si>
  <si>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</si>
  <si>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</si>
  <si>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</si>
  <si>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</si>
  <si>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</si>
  <si>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</si>
  <si>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</si>
  <si>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</si>
  <si>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</si>
  <si>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</si>
  <si>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</si>
  <si>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</si>
  <si>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</si>
  <si>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</si>
  <si>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</si>
  <si>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</si>
  <si>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</si>
  <si>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</si>
  <si>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</si>
  <si>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</si>
  <si>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</si>
  <si>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</si>
  <si>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</si>
  <si>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</si>
  <si>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</si>
  <si>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</si>
  <si>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</si>
  <si>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</si>
  <si>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</si>
  <si>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</si>
  <si>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</si>
  <si>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</si>
  <si>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</si>
  <si>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</si>
  <si>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</si>
  <si>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</si>
  <si>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</si>
  <si>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</si>
  <si>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</si>
  <si>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</si>
  <si>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</si>
  <si>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</si>
  <si>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</si>
  <si>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</si>
  <si>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</si>
  <si>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</si>
  <si>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</si>
  <si>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</si>
  <si>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</si>
  <si>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</si>
  <si>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</si>
  <si>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</si>
  <si>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</si>
  <si>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</si>
  <si>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</si>
  <si>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</si>
  <si>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</si>
  <si>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</si>
  <si>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</si>
  <si>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</si>
  <si>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</si>
  <si>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</si>
  <si>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</si>
  <si>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</si>
  <si>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</si>
  <si>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</si>
  <si>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</si>
  <si>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</si>
  <si>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</si>
  <si>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</si>
  <si>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</si>
  <si>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</si>
  <si>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</si>
  <si>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</si>
  <si>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</si>
  <si>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</si>
  <si>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</si>
  <si>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</si>
  <si>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</si>
  <si>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</si>
  <si>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</si>
  <si>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</si>
  <si>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</si>
  <si>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</si>
  <si>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</si>
  <si>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</si>
  <si>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</si>
  <si>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</si>
  <si>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</si>
  <si>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</si>
  <si>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</si>
  <si>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</si>
  <si>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</si>
  <si>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</si>
  <si>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</si>
  <si>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</si>
  <si>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</si>
  <si>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</si>
  <si>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</si>
  <si>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</si>
  <si>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</si>
  <si>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</si>
  <si>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</si>
  <si>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</si>
  <si>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</si>
  <si>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</si>
  <si>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</si>
  <si>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</si>
  <si>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</si>
  <si>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</si>
  <si>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</si>
  <si>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</si>
  <si>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</si>
  <si>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</si>
  <si>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</si>
  <si>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</si>
  <si>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</si>
  <si>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</si>
  <si>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</si>
  <si>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</si>
  <si>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</si>
  <si>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</si>
  <si>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</si>
  <si>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</si>
  <si>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</si>
  <si>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</si>
  <si>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</si>
  <si>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</si>
  <si>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</si>
  <si>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</si>
  <si>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</si>
  <si>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</si>
  <si>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</si>
  <si>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</si>
  <si>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</si>
  <si>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</si>
  <si>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</si>
  <si>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</si>
  <si>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</si>
  <si>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</si>
  <si>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</si>
  <si>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</si>
  <si>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</si>
  <si>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</si>
  <si>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</si>
  <si>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</si>
  <si>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</si>
  <si>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</si>
  <si>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</si>
  <si>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</si>
  <si>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</si>
  <si>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</si>
  <si>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</si>
  <si>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</si>
  <si>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</si>
  <si>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</si>
  <si>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</si>
  <si>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</si>
  <si>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</si>
  <si>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</si>
  <si>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</si>
  <si>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</si>
  <si>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</si>
  <si>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</si>
  <si>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</si>
  <si>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</si>
  <si>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</si>
  <si>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</si>
  <si>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</si>
  <si>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</si>
  <si>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</si>
  <si>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</si>
  <si>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</si>
  <si>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</si>
  <si>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</si>
  <si>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</si>
  <si>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</si>
  <si>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</si>
  <si>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</si>
  <si>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</si>
  <si>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</si>
  <si>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</si>
  <si>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</si>
  <si>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</si>
  <si>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</si>
  <si>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</si>
  <si>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</si>
  <si>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</si>
  <si>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</si>
  <si>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</si>
  <si>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</si>
  <si>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</si>
  <si>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</si>
  <si>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</si>
  <si>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</si>
  <si>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</si>
  <si>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</si>
  <si>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</si>
  <si>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</si>
  <si>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</si>
  <si>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</si>
  <si>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</si>
  <si>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</si>
  <si>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</si>
  <si>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</si>
  <si>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</si>
  <si>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</si>
  <si>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</si>
  <si>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</si>
  <si>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</si>
  <si>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</si>
  <si>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</si>
  <si>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</si>
  <si>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</si>
  <si>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</si>
  <si>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</si>
  <si>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</si>
  <si>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</si>
  <si>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</si>
  <si>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</si>
  <si>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</si>
  <si>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</si>
  <si>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</si>
  <si>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</si>
  <si>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</si>
  <si>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</si>
  <si>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</si>
  <si>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</si>
  <si>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</si>
  <si>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</si>
  <si>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</si>
  <si>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</si>
  <si>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</si>
  <si>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</si>
  <si>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</si>
  <si>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</si>
  <si>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</si>
  <si>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</si>
  <si>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</si>
  <si>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</si>
  <si>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</si>
  <si>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</si>
  <si>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</si>
  <si>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</si>
  <si>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</si>
  <si>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</si>
  <si>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</si>
  <si>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</si>
  <si>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</si>
  <si>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</si>
  <si>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</si>
  <si>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</si>
  <si>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</si>
  <si>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</si>
  <si>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</si>
  <si>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</si>
  <si>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</si>
  <si>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</si>
  <si>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</si>
  <si>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</si>
  <si>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</si>
  <si>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</si>
  <si>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</si>
  <si>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</si>
  <si>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</si>
  <si>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</si>
  <si>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</si>
  <si>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</si>
  <si>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</si>
  <si>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</si>
  <si>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</si>
  <si>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</si>
  <si>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</si>
  <si>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</si>
  <si>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</si>
  <si>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</si>
  <si>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</si>
  <si>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</si>
  <si>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</si>
  <si>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</si>
  <si>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</si>
  <si>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</si>
  <si>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</si>
  <si>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</si>
  <si>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</si>
  <si>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</si>
  <si>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</si>
  <si>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</si>
  <si>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</si>
  <si>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</si>
  <si>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</si>
  <si>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</si>
  <si>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</si>
  <si>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</si>
  <si>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</si>
  <si>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</si>
  <si>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</si>
  <si>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</si>
  <si>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</si>
  <si>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</si>
  <si>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</si>
  <si>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</si>
  <si>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</si>
  <si>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</si>
  <si>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</si>
  <si>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</si>
  <si>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</si>
  <si>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</si>
  <si>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</si>
  <si>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</si>
  <si>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</si>
  <si>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</si>
  <si>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</si>
  <si>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</si>
  <si>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</si>
  <si>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</si>
  <si>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</si>
  <si>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</si>
  <si>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</si>
  <si>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</si>
  <si>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</si>
  <si>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</si>
  <si>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</si>
  <si>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</si>
  <si>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</si>
  <si>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</si>
  <si>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</si>
  <si>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</si>
  <si>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</si>
  <si>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</si>
  <si>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</si>
  <si>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</si>
  <si>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</si>
  <si>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</si>
  <si>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</si>
  <si>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</si>
  <si>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</si>
  <si>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</si>
  <si>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</si>
  <si>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</si>
  <si>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</si>
  <si>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</si>
  <si>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</si>
  <si>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</si>
  <si>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</si>
  <si>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</si>
  <si>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</si>
  <si>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</si>
  <si>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</si>
  <si>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</si>
  <si>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</si>
  <si>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</si>
  <si>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</si>
  <si>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</si>
  <si>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</si>
  <si>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</si>
  <si>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</si>
  <si>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</si>
  <si>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</si>
  <si>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</si>
  <si>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</si>
  <si>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</si>
  <si>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</si>
  <si>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</si>
  <si>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</si>
  <si>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</si>
  <si>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</si>
  <si>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</si>
  <si>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</si>
  <si>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</si>
  <si>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</si>
  <si>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</si>
  <si>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</si>
  <si>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</si>
  <si>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</si>
  <si>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</si>
  <si>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</si>
  <si>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</si>
  <si>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</si>
  <si>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</si>
  <si>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</si>
  <si>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</si>
  <si>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</si>
  <si>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</si>
  <si>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</si>
  <si>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</si>
  <si>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</si>
  <si>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</si>
  <si>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</si>
  <si>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</si>
  <si>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</si>
  <si>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</si>
  <si>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</si>
  <si>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</si>
  <si>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</si>
  <si>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</si>
  <si>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</si>
  <si>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</si>
  <si>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</si>
  <si>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</si>
  <si>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</si>
  <si>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</si>
  <si>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</si>
  <si>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</si>
  <si>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</si>
  <si>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</si>
  <si>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</si>
  <si>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</si>
  <si>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</si>
  <si>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</si>
  <si>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</si>
  <si>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</si>
  <si>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</si>
  <si>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</si>
  <si>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</si>
  <si>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</si>
  <si>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</si>
  <si>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</si>
  <si>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</si>
  <si>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</si>
  <si>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</si>
  <si>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</si>
  <si>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</si>
  <si>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</si>
  <si>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</si>
  <si>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</si>
  <si>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</si>
  <si>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</si>
  <si>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</si>
  <si>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</si>
  <si>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</si>
  <si>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</si>
  <si>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</si>
  <si>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</si>
  <si>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</si>
  <si>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</si>
  <si>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</si>
  <si>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</si>
  <si>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</si>
  <si>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</si>
  <si>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</si>
  <si>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</si>
  <si>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</si>
  <si>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</si>
  <si>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</si>
  <si>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</si>
  <si>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</si>
  <si>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</si>
  <si>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</si>
  <si>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</si>
  <si>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</si>
  <si>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</si>
  <si>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</si>
  <si>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</si>
  <si>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</si>
  <si>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</si>
  <si>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</si>
  <si>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</si>
  <si>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</si>
  <si>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</si>
  <si>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</si>
  <si>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</si>
  <si>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</si>
  <si>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</si>
  <si>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</si>
  <si>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</si>
  <si>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</si>
  <si>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</si>
  <si>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</si>
  <si>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</si>
  <si>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</si>
  <si>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</si>
  <si>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</si>
  <si>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</si>
  <si>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</si>
  <si>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LA RIOJA</t>
  </si>
  <si>
    <t>Provincias</t>
  </si>
  <si>
    <t>Resumenes por Partidos Judiciales</t>
  </si>
  <si>
    <t>LOGROÑO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</si>
</sst>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6" t="s">
        <v>100</v>
      </c>
      <c r="B3" s="1187"/>
      <c r="C3" s="1187"/>
      <c r="D3" s="1188"/>
      <c r="E3" s="366"/>
      <c r="F3" s="2"/>
      <c r="Q3" s="346">
        <v>1</v>
      </c>
      <c r="R3" s="346">
        <v>3</v>
      </c>
      <c r="S3" t="b">
        <f>AND(Q3&gt;=TrimIni,Q3&lt;=TrimFin)</f>
        <v>1</v>
      </c>
    </row>
    <row r="4" spans="1:19" ht="22.5" customHeight="1" thickBot="1">
      <c r="A4" s="367" t="s">
        <v>898</v>
      </c>
      <c r="B4" s="366"/>
      <c r="C4" s="366"/>
      <c r="D4" s="366"/>
      <c r="E4" s="366"/>
      <c r="F4" s="2"/>
      <c r="Q4" s="346">
        <v>2</v>
      </c>
      <c r="R4" s="346">
        <v>3</v>
      </c>
      <c r="S4" t="b">
        <f>AND(Q4&gt;=TrimIni,Q4&lt;=TrimFin)</f>
        <v>0</v>
      </c>
    </row>
    <row r="5" spans="1:19" ht="15.75" thickBot="1">
      <c r="A5" s="368" t="s">
        <v>37</v>
      </c>
      <c r="B5" s="369">
        <v>2024</v>
      </c>
      <c r="C5" s="370" t="s">
        <v>211</v>
      </c>
      <c r="D5" s="371">
        <v>1</v>
      </c>
      <c r="E5" s="372"/>
      <c r="F5" s="3"/>
      <c r="H5" t="s">
        <v>420</v>
      </c>
      <c r="Q5" s="346">
        <v>3</v>
      </c>
      <c r="R5" s="346">
        <v>2</v>
      </c>
      <c r="S5" t="b">
        <f>AND(Q5&gt;=TrimIni,Q5&lt;=TrimFin)</f>
        <v>0</v>
      </c>
    </row>
    <row r="6" spans="1:19" ht="15">
      <c r="A6" s="373"/>
      <c r="B6" s="372"/>
      <c r="C6" s="370" t="s">
        <v>212</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899</v>
      </c>
      <c r="B9" s="375" t="s">
        <v>900</v>
      </c>
      <c r="C9" s="372"/>
      <c r="D9" s="372"/>
      <c r="E9" s="381"/>
      <c r="F9" s="3"/>
    </row>
    <row r="10" spans="1:19">
      <c r="A10" s="380" t="s">
        <v>901</v>
      </c>
      <c r="B10" s="372" t="s">
        <v>900</v>
      </c>
      <c r="C10" s="372"/>
      <c r="D10" s="372"/>
      <c r="E10" s="381"/>
      <c r="F10" s="3"/>
      <c r="Q10" s="346">
        <v>0</v>
      </c>
    </row>
    <row r="11" spans="1:19" ht="13.5" thickBot="1">
      <c r="A11" s="382" t="s">
        <v>902</v>
      </c>
      <c r="B11" s="383" t="s">
        <v>903</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g/w9L0iVDo7W4lRBb0J77wY1zz4Pk9+ff1+jebQCkTYuu/TtyNf1by2moUCBK4+0UN4EUw5gTKkWF6yFMEvug==" saltValue="be9YSC4iIDKJFbbzQCM4X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351</v>
      </c>
      <c r="E3" s="494"/>
    </row>
    <row r="4" spans="1:31" s="471" customFormat="1" ht="15.75" thickBot="1">
      <c r="A4" s="1085" t="s">
        <v>356</v>
      </c>
      <c r="B4" s="1096" t="str">
        <f>Criterios!B9</f>
        <v>LA RIOJA</v>
      </c>
      <c r="C4" s="1086"/>
      <c r="D4" s="1086"/>
      <c r="E4" s="1087"/>
      <c r="F4" s="1086"/>
      <c r="G4" s="543"/>
      <c r="H4" s="1336" t="s">
        <v>357</v>
      </c>
      <c r="I4" s="1337"/>
      <c r="J4" s="1337"/>
      <c r="K4" s="1337"/>
      <c r="L4" s="1337"/>
      <c r="M4" s="1088"/>
      <c r="N4" s="1336" t="s">
        <v>358</v>
      </c>
      <c r="O4" s="1337"/>
      <c r="P4" s="1337"/>
      <c r="Q4" s="1337"/>
      <c r="R4" s="1337"/>
      <c r="S4" s="1337"/>
      <c r="T4" s="1337"/>
      <c r="U4" s="1337"/>
      <c r="V4" s="1337"/>
      <c r="W4" s="1337"/>
      <c r="X4" s="1337"/>
      <c r="Y4" s="1337"/>
      <c r="Z4" s="1337"/>
      <c r="AA4" s="1337"/>
      <c r="AB4" s="1337"/>
      <c r="AC4" s="1337"/>
      <c r="AD4" s="1338"/>
    </row>
    <row r="5" spans="1:31" s="471" customFormat="1" ht="15.75" customHeight="1">
      <c r="A5" s="1344" t="s">
        <v>347</v>
      </c>
      <c r="B5" s="1346" t="str">
        <f>"Año:  " &amp;Criterios!B5 &amp; "      Trimestre   " &amp;Criterios!D5 &amp; " al " &amp;Criterios!D6</f>
        <v>Año:  2024      Trimestre   1 al 1</v>
      </c>
      <c r="C5" s="1350" t="s">
        <v>257</v>
      </c>
      <c r="D5" s="1352" t="s">
        <v>128</v>
      </c>
      <c r="E5" s="1352" t="s">
        <v>92</v>
      </c>
      <c r="F5" s="1354" t="s">
        <v>9</v>
      </c>
      <c r="G5" s="1342"/>
      <c r="H5" s="1339" t="s">
        <v>352</v>
      </c>
      <c r="I5" s="1356" t="s">
        <v>354</v>
      </c>
      <c r="J5" s="1339" t="s">
        <v>353</v>
      </c>
      <c r="K5" s="1341" t="s">
        <v>298</v>
      </c>
      <c r="L5" s="1341" t="s">
        <v>355</v>
      </c>
      <c r="M5" s="1341" t="s">
        <v>349</v>
      </c>
      <c r="N5" s="1326"/>
      <c r="O5" s="1327"/>
      <c r="Q5" s="1330" t="s">
        <v>448</v>
      </c>
      <c r="R5" s="1331"/>
      <c r="S5" s="1332"/>
      <c r="T5" s="1330"/>
      <c r="U5" s="1331"/>
      <c r="V5" s="1332"/>
      <c r="W5" s="1330" t="s">
        <v>268</v>
      </c>
      <c r="X5" s="1331"/>
      <c r="Y5" s="1331"/>
      <c r="Z5" s="1332"/>
      <c r="AA5" s="1330" t="s">
        <v>443</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21.443487621097955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213</v>
      </c>
      <c r="D10" s="225">
        <f>IF(ISNUMBER(Datos!I10),Datos!I10," - ")</f>
        <v>213</v>
      </c>
      <c r="E10" s="226">
        <f>IF(ISNUMBER(Datos!J10),Datos!J10," - ")</f>
        <v>58</v>
      </c>
      <c r="F10" s="226">
        <f>IF(ISNUMBER(Datos!K10),Datos!K10," - ")</f>
        <v>58</v>
      </c>
      <c r="G10" s="1034" t="str">
        <f>IF(Datos!E10&lt;&gt;"",Datos!E10,Datos!D10)</f>
        <v>37</v>
      </c>
      <c r="H10" s="227">
        <f>IF(ISNUMBER(Datos!L10),Datos!L10," - ")</f>
        <v>213</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40.396551724137936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20.90928270042194</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213</v>
      </c>
      <c r="D13" s="1049">
        <f>SUBTOTAL(9,D9:D12)</f>
        <v>213</v>
      </c>
      <c r="E13" s="1050">
        <f>SUBTOTAL(9,E9:E12)</f>
        <v>58</v>
      </c>
      <c r="F13" s="1051">
        <f>SUBTOTAL(9,F9:F12)</f>
        <v>58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3</v>
      </c>
      <c r="B15" s="502" t="str">
        <f>Datos!A15</f>
        <v xml:space="preserve">Jdos. Instrucción                               </v>
      </c>
      <c r="C15" s="225">
        <f t="shared" ref="C15:C17" si="2">IF(ISNUMBER(H15-E15+F15),H15-E15+F15," - ")</f>
        <v>3407</v>
      </c>
      <c r="D15" s="225">
        <f>IF(ISNUMBER(IF(D_I="SI",Datos!I15,Datos!I15+Datos!AC15)),IF(D_I="SI",Datos!I15,Datos!I15+Datos!AC15)," - ")</f>
        <v>3399</v>
      </c>
      <c r="E15" s="226">
        <f>IF(ISNUMBER(IF(D_I="SI",Datos!J15,Datos!J15+Datos!AD15)),IF(D_I="SI",Datos!J15,Datos!J15+Datos!AD15)," - ")</f>
        <v>1645</v>
      </c>
      <c r="F15" s="226">
        <f>IF(ISNUMBER(IF(D_I="SI",Datos!K15,Datos!K15+Datos!AE15)),IF(D_I="SI",Datos!K15,Datos!K15+Datos!AE15)," - ")</f>
        <v>1865</v>
      </c>
      <c r="G15" s="1034" t="str">
        <f>IF(Datos!E15&lt;&gt;"",Datos!E15,Datos!D15)</f>
        <v>03</v>
      </c>
      <c r="H15" s="227">
        <f>IF(ISNUMBER(IF(D_I="SI",Datos!L15,Datos!L15+Datos!AF15)),IF(D_I="SI",Datos!L15,Datos!L15+Datos!AF15)," - ")</f>
        <v>3187</v>
      </c>
      <c r="I15" s="1044" t="str">
        <f>IF(ISNUMBER(Datos!AS15/Datos!BM15),Datos!AS15/Datos!BM15," - ")</f>
        <v xml:space="preserve"> - </v>
      </c>
      <c r="J15" s="1045">
        <f>IF(ISNUMBER(Datos!BY15/Datos!CN15),Datos!BY15/Datos!CN15," - ")</f>
        <v>0</v>
      </c>
      <c r="K15" s="230">
        <f t="shared" ref="K15:K17" si="3">IF(ISNUMBER((E15-F15)/C15),(E15-F15)/C15," - ")</f>
        <v>-6.4572938068682126E-2</v>
      </c>
      <c r="L15" s="1025">
        <f>IF(ISNUMBER(NºAsuntos!I15/NºAsuntos!G15),(NºAsuntos!I15/NºAsuntos!G15)*11," - ")</f>
        <v>18.797319034852546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329</v>
      </c>
      <c r="D17" s="225">
        <f>IF(ISNUMBER(IF(D_I="SI",Datos!I17,Datos!I17+Datos!AC17)),IF(D_I="SI",Datos!I17,Datos!I17+Datos!AC17)," - ")</f>
        <v>329</v>
      </c>
      <c r="E17" s="226">
        <f>IF(ISNUMBER(IF(D_I="SI",Datos!J17,Datos!J17+Datos!AD17)),IF(D_I="SI",Datos!J17,Datos!J17+Datos!AD17)," - ")</f>
        <v>220</v>
      </c>
      <c r="F17" s="226">
        <f>IF(ISNUMBER(IF(D_I="SI",Datos!K17,Datos!K17+Datos!AE17)),IF(D_I="SI",Datos!K17,Datos!K17+Datos!AE17)," - ")</f>
        <v>189</v>
      </c>
      <c r="G17" s="1034" t="str">
        <f>IF(Datos!E17&lt;&gt;"",Datos!E17,Datos!D17)</f>
        <v>37</v>
      </c>
      <c r="H17" s="227">
        <f>IF(ISNUMBER(IF(D_I="SI",Datos!L17,Datos!L17+Datos!AF17)),IF(D_I="SI",Datos!L17,Datos!L17+Datos!AF17)," - ")</f>
        <v>360</v>
      </c>
      <c r="I17" s="1044" t="str">
        <f>IF(ISNUMBER(Datos!AS17/Datos!BM17),Datos!AS17/Datos!BM17," - ")</f>
        <v xml:space="preserve"> - </v>
      </c>
      <c r="J17" s="1045" t="str">
        <f>IF(ISNUMBER((Datos!BY17+Datos!BZ17)/Datos!CN17),(Datos!BY17+Datos!BZ17)/Datos!CN17," - ")</f>
        <v xml:space="preserve"> - </v>
      </c>
      <c r="K17" s="230">
        <f t="shared" si="3"/>
        <v>9.4224924012158054E-2</v>
      </c>
      <c r="L17" s="1025">
        <f>IF(ISNUMBER(NºAsuntos!I17/NºAsuntos!G17),(NºAsuntos!I17/NºAsuntos!G17)*11," - ")</f>
        <v>20.952380952380953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3736</v>
      </c>
      <c r="D18" s="1049">
        <f>SUBTOTAL(9,D15:D17)</f>
        <v>3728</v>
      </c>
      <c r="E18" s="1050">
        <f>SUBTOTAL(9,E15:E17)</f>
        <v>1865</v>
      </c>
      <c r="F18" s="1050">
        <f>SUBTOTAL(9,F15:F17)</f>
        <v>2054</v>
      </c>
      <c r="G18" s="1052" t="str">
        <f ca="1">INDIRECT(CONCATENATE("G",ROW()-1))</f>
        <v>37</v>
      </c>
      <c r="H18" s="1053">
        <f ca="1">SUMIF(G$14:G17,G18,H$14:H17)</f>
        <v>360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3949</v>
      </c>
      <c r="D19" s="1071">
        <f>SUBTOTAL(9,D9:D18)</f>
        <v>3941</v>
      </c>
      <c r="E19" s="1072">
        <f>SUBTOTAL(9,E9:E18)</f>
        <v>1923</v>
      </c>
      <c r="F19" s="1072">
        <f>SUBTOTAL(9,F9:F18)</f>
        <v>2112</v>
      </c>
      <c r="G19" s="1073"/>
      <c r="H19" s="1074">
        <f ca="1">SUMIF(B9:B18,"TOTAL",H9:H18)</f>
        <v>360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630</v>
      </c>
      <c r="O25" s="1325"/>
      <c r="P25" s="1325"/>
      <c r="Q25" s="1325"/>
      <c r="R25" s="1325"/>
      <c r="S25" s="1325"/>
      <c r="T25" s="1325"/>
      <c r="U25" s="1325"/>
      <c r="V25" s="1325"/>
      <c r="W25" s="1325"/>
      <c r="Y25" s="1325" t="s">
        <v>631</v>
      </c>
      <c r="Z25" s="1325"/>
      <c r="AA25" s="1325"/>
      <c r="AB25" s="1325"/>
      <c r="AC25" s="1325"/>
      <c r="AD25" s="1325"/>
    </row>
    <row r="27" spans="1:31">
      <c r="N27" s="1031" t="s">
        <v>632</v>
      </c>
      <c r="O27" s="1321" t="s">
        <v>633</v>
      </c>
      <c r="P27" s="1321"/>
      <c r="Q27" s="1321"/>
      <c r="R27" s="1321"/>
      <c r="S27" s="1321"/>
      <c r="T27" s="1321"/>
      <c r="U27" s="1321"/>
      <c r="V27" s="1321"/>
      <c r="W27" s="1321"/>
      <c r="Y27" s="1031" t="s">
        <v>632</v>
      </c>
      <c r="Z27" s="1323" t="s">
        <v>634</v>
      </c>
      <c r="AA27" s="1323"/>
      <c r="AB27" s="1323"/>
      <c r="AC27" s="1323"/>
      <c r="AD27" s="1323"/>
    </row>
    <row r="28" spans="1:31">
      <c r="N28" s="1031" t="s">
        <v>635</v>
      </c>
      <c r="O28" s="1321" t="s">
        <v>636</v>
      </c>
      <c r="P28" s="1321"/>
      <c r="Q28" s="1321"/>
      <c r="R28" s="1321"/>
      <c r="S28" s="1321"/>
      <c r="T28" s="1321"/>
      <c r="U28" s="1321"/>
      <c r="V28" s="1321"/>
      <c r="W28" s="1321"/>
      <c r="Y28" s="1031" t="s">
        <v>635</v>
      </c>
      <c r="Z28" s="1323" t="s">
        <v>637</v>
      </c>
      <c r="AA28" s="1323"/>
      <c r="AB28" s="1323"/>
      <c r="AC28" s="1323"/>
      <c r="AD28" s="1323"/>
    </row>
    <row r="29" spans="1:31">
      <c r="N29" s="1031" t="s">
        <v>638</v>
      </c>
      <c r="O29" s="1321" t="s">
        <v>639</v>
      </c>
      <c r="P29" s="1321"/>
      <c r="Q29" s="1321"/>
      <c r="R29" s="1321"/>
      <c r="S29" s="1321"/>
      <c r="T29" s="1321"/>
      <c r="U29" s="1321"/>
      <c r="V29" s="1321"/>
      <c r="W29" s="1321"/>
      <c r="Y29" s="1031" t="s">
        <v>640</v>
      </c>
      <c r="Z29" s="1323" t="s">
        <v>871</v>
      </c>
      <c r="AA29" s="1323"/>
      <c r="AB29" s="1323"/>
      <c r="AC29" s="1323"/>
      <c r="AD29" s="1323"/>
    </row>
    <row r="30" spans="1:31">
      <c r="N30" s="1031" t="s">
        <v>641</v>
      </c>
      <c r="O30" s="1321" t="s">
        <v>642</v>
      </c>
      <c r="P30" s="1321"/>
      <c r="Q30" s="1321"/>
      <c r="R30" s="1321"/>
      <c r="S30" s="1321"/>
      <c r="T30" s="1321"/>
      <c r="U30" s="1321"/>
      <c r="V30" s="1321"/>
      <c r="W30" s="1321"/>
      <c r="Y30" s="1031" t="s">
        <v>643</v>
      </c>
      <c r="Z30" s="1323" t="s">
        <v>872</v>
      </c>
      <c r="AA30" s="1323"/>
      <c r="AB30" s="1323"/>
      <c r="AC30" s="1323"/>
      <c r="AD30" s="1323"/>
    </row>
    <row r="31" spans="1:31">
      <c r="N31" s="1031" t="s">
        <v>726</v>
      </c>
      <c r="O31" s="1321" t="s">
        <v>727</v>
      </c>
      <c r="P31" s="1321"/>
      <c r="Q31" s="1321"/>
      <c r="R31" s="1321"/>
      <c r="S31" s="1321"/>
      <c r="T31" s="1321"/>
      <c r="U31" s="1321"/>
      <c r="V31" s="1321"/>
      <c r="W31" s="1321"/>
      <c r="Y31" s="1031" t="s">
        <v>638</v>
      </c>
      <c r="Z31" s="1323" t="s">
        <v>639</v>
      </c>
      <c r="AA31" s="1323"/>
      <c r="AB31" s="1323"/>
      <c r="AC31" s="1323"/>
      <c r="AD31" s="1323"/>
    </row>
    <row r="32" spans="1:31">
      <c r="N32" s="1031" t="s">
        <v>644</v>
      </c>
      <c r="O32" s="1321" t="s">
        <v>645</v>
      </c>
      <c r="P32" s="1321"/>
      <c r="Q32" s="1321"/>
      <c r="R32" s="1321"/>
      <c r="S32" s="1321"/>
      <c r="T32" s="1321"/>
      <c r="U32" s="1321"/>
      <c r="V32" s="1321"/>
      <c r="W32" s="1321"/>
      <c r="Y32" s="1031" t="s">
        <v>641</v>
      </c>
      <c r="Z32" s="1323" t="s">
        <v>642</v>
      </c>
      <c r="AA32" s="1323"/>
      <c r="AB32" s="1323"/>
      <c r="AC32" s="1323"/>
      <c r="AD32" s="1323"/>
    </row>
    <row r="33" spans="14:30">
      <c r="N33" s="1031" t="s">
        <v>646</v>
      </c>
      <c r="O33" s="1321" t="s">
        <v>647</v>
      </c>
      <c r="P33" s="1321"/>
      <c r="Q33" s="1321"/>
      <c r="R33" s="1321"/>
      <c r="S33" s="1321"/>
      <c r="T33" s="1321"/>
      <c r="U33" s="1321"/>
      <c r="V33" s="1321"/>
      <c r="W33" s="1321"/>
      <c r="Y33" s="1031" t="s">
        <v>648</v>
      </c>
      <c r="Z33" s="1323" t="s">
        <v>649</v>
      </c>
      <c r="AA33" s="1323"/>
      <c r="AB33" s="1323"/>
      <c r="AC33" s="1323"/>
      <c r="AD33" s="1323"/>
    </row>
    <row r="34" spans="14:30">
      <c r="N34" s="1031" t="s">
        <v>640</v>
      </c>
      <c r="O34" s="1321" t="s">
        <v>869</v>
      </c>
      <c r="P34" s="1321"/>
      <c r="Q34" s="1321"/>
      <c r="R34" s="1321"/>
      <c r="S34" s="1321"/>
      <c r="T34" s="1321"/>
      <c r="U34" s="1321"/>
      <c r="V34" s="1321"/>
      <c r="W34" s="1321"/>
      <c r="Y34" s="1031" t="s">
        <v>650</v>
      </c>
      <c r="Z34" s="1323" t="s">
        <v>651</v>
      </c>
      <c r="AA34" s="1323"/>
      <c r="AB34" s="1323"/>
      <c r="AC34" s="1323"/>
      <c r="AD34" s="1323"/>
    </row>
    <row r="35" spans="14:30">
      <c r="N35" s="1031" t="s">
        <v>643</v>
      </c>
      <c r="O35" s="1321" t="s">
        <v>870</v>
      </c>
      <c r="P35" s="1321"/>
      <c r="Q35" s="1321"/>
      <c r="R35" s="1321"/>
      <c r="S35" s="1321"/>
      <c r="T35" s="1321"/>
      <c r="U35" s="1321"/>
      <c r="V35" s="1321"/>
      <c r="W35" s="1321"/>
      <c r="Y35" s="1031" t="s">
        <v>653</v>
      </c>
      <c r="Z35" s="1323" t="s">
        <v>654</v>
      </c>
      <c r="AA35" s="1323"/>
      <c r="AB35" s="1323"/>
      <c r="AC35" s="1323"/>
      <c r="AD35" s="1323"/>
    </row>
    <row r="36" spans="14:30">
      <c r="N36" s="1031" t="s">
        <v>648</v>
      </c>
      <c r="O36" s="1321" t="s">
        <v>652</v>
      </c>
      <c r="P36" s="1321"/>
      <c r="Q36" s="1321"/>
      <c r="R36" s="1321"/>
      <c r="S36" s="1321"/>
      <c r="T36" s="1321"/>
      <c r="U36" s="1321"/>
      <c r="V36" s="1321"/>
      <c r="W36" s="1321"/>
      <c r="Y36" s="1031" t="s">
        <v>644</v>
      </c>
      <c r="Z36" s="1323" t="s">
        <v>645</v>
      </c>
      <c r="AA36" s="1323"/>
      <c r="AB36" s="1323"/>
      <c r="AC36" s="1323"/>
      <c r="AD36" s="1323"/>
    </row>
    <row r="37" spans="14:30">
      <c r="N37" s="1031" t="s">
        <v>655</v>
      </c>
      <c r="O37" s="1321" t="s">
        <v>656</v>
      </c>
      <c r="P37" s="1321"/>
      <c r="Q37" s="1321"/>
      <c r="R37" s="1321"/>
      <c r="S37" s="1321"/>
      <c r="T37" s="1321"/>
      <c r="U37" s="1321"/>
      <c r="V37" s="1321"/>
      <c r="W37" s="1321"/>
      <c r="Y37" s="1032" t="s">
        <v>646</v>
      </c>
      <c r="Z37" s="1324" t="s">
        <v>647</v>
      </c>
      <c r="AA37" s="1324"/>
      <c r="AB37" s="1324"/>
      <c r="AC37" s="1324"/>
      <c r="AD37" s="1324"/>
    </row>
    <row r="38" spans="14:30">
      <c r="N38" s="1031" t="s">
        <v>650</v>
      </c>
      <c r="O38" s="1321" t="s">
        <v>657</v>
      </c>
      <c r="P38" s="1321"/>
      <c r="Q38" s="1321"/>
      <c r="R38" s="1321"/>
      <c r="S38" s="1321"/>
      <c r="T38" s="1321"/>
      <c r="U38" s="1321"/>
      <c r="V38" s="1321"/>
      <c r="W38" s="1321"/>
    </row>
    <row r="39" spans="14:30">
      <c r="N39" s="1032" t="s">
        <v>653</v>
      </c>
      <c r="O39" s="1322" t="s">
        <v>658</v>
      </c>
      <c r="P39" s="1322"/>
      <c r="Q39" s="1322"/>
      <c r="R39" s="1322"/>
      <c r="S39" s="1322"/>
      <c r="T39" s="1322"/>
      <c r="U39" s="1322"/>
      <c r="V39" s="1322"/>
      <c r="W39" s="1322"/>
    </row>
  </sheetData>
  <sheetProtection algorithmName="SHA-512" hashValue="uY/y1Wtv0snTAVhhfbX7tkGR1sk9pbImshh8ucwlHSU5oc/HuM0JHnxaOTfWNsR0X+0eSc8Nbec1IQS18lyygA==" saltValue="Mtt+3CpBUBqi+Kj0SoZAd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aMoKHMuNBwM69WqoEwwx1jQ+kHb7uso+peXYOGLf0KliJqYyyL0JZ8oO5G8pGbez6cu7hY5odMA5/WlsWq1+3A==" saltValue="KVps1dDYIQLiYkHNErYTl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LA RIOJA</v>
      </c>
    </row>
    <row r="4" spans="1:155" ht="13.5" thickBot="1">
      <c r="A4" t="str">
        <f>Criterios!A10</f>
        <v>Provincias</v>
      </c>
      <c r="B4" t="str">
        <f>Criterios!B10</f>
        <v>LA RIOJA</v>
      </c>
      <c r="CE4" s="1392" t="s">
        <v>269</v>
      </c>
      <c r="CF4" s="1393"/>
      <c r="CG4" s="1393"/>
      <c r="CH4" s="1394"/>
    </row>
    <row r="5" spans="1:155" ht="12.75" customHeight="1" thickBot="1">
      <c r="A5" s="1422" t="str">
        <f>"Año:  " &amp;Criterios!B5 &amp; "                  Trimestre   " &amp;Criterios!D5 &amp; " al " &amp;Criterios!D6</f>
        <v>Año:  2024                  Trimestre   1 al 1</v>
      </c>
      <c r="B5" s="1424" t="s">
        <v>395</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150</v>
      </c>
      <c r="AT5" s="1410" t="s">
        <v>151</v>
      </c>
      <c r="AU5" s="1410" t="s">
        <v>234</v>
      </c>
      <c r="AV5" s="1410" t="s">
        <v>232</v>
      </c>
      <c r="AW5" s="1410" t="s">
        <v>235</v>
      </c>
      <c r="AX5" s="1410" t="s">
        <v>233</v>
      </c>
      <c r="AY5" s="1404" t="s">
        <v>108</v>
      </c>
      <c r="AZ5" s="1458"/>
      <c r="BA5" s="1458"/>
      <c r="BB5" s="1458"/>
      <c r="BC5" s="1459"/>
      <c r="BD5" s="1404" t="s">
        <v>109</v>
      </c>
      <c r="BE5" s="1405"/>
      <c r="BF5" s="1405"/>
      <c r="BG5" s="1406"/>
      <c r="BH5" s="1398" t="s">
        <v>143</v>
      </c>
      <c r="BI5" s="1398" t="s">
        <v>144</v>
      </c>
      <c r="BJ5" s="1455" t="s">
        <v>207</v>
      </c>
      <c r="BK5" s="1415" t="s">
        <v>210</v>
      </c>
      <c r="BL5" s="1415" t="s">
        <v>217</v>
      </c>
      <c r="BM5" s="1452" t="s">
        <v>313</v>
      </c>
      <c r="BN5" s="1245"/>
      <c r="BO5" s="1246"/>
      <c r="BP5" s="1245"/>
      <c r="BQ5" s="1246"/>
      <c r="BR5" s="1245"/>
      <c r="BS5" s="1246"/>
      <c r="BT5" s="1245"/>
      <c r="BU5" s="1246"/>
      <c r="BV5" s="1412" t="s">
        <v>268</v>
      </c>
      <c r="BW5" s="1418" t="s">
        <v>248</v>
      </c>
      <c r="BX5" s="1418" t="s">
        <v>249</v>
      </c>
      <c r="BY5" s="1401" t="s">
        <v>255</v>
      </c>
      <c r="BZ5" s="1401" t="s">
        <v>345</v>
      </c>
      <c r="CA5" s="1421" t="s">
        <v>284</v>
      </c>
      <c r="CB5" s="1421" t="s">
        <v>275</v>
      </c>
      <c r="CC5" s="1421" t="s">
        <v>276</v>
      </c>
      <c r="CD5" s="1421" t="s">
        <v>277</v>
      </c>
      <c r="CE5" s="1395" t="s">
        <v>288</v>
      </c>
      <c r="CF5" s="1395" t="s">
        <v>267</v>
      </c>
      <c r="CG5" s="1395" t="s">
        <v>265</v>
      </c>
      <c r="CH5" s="1395" t="s">
        <v>266</v>
      </c>
      <c r="CI5" s="1469" t="s">
        <v>290</v>
      </c>
      <c r="CJ5" s="1469" t="s">
        <v>291</v>
      </c>
      <c r="CK5" s="1382" t="s">
        <v>421</v>
      </c>
      <c r="CL5" s="1382" t="s">
        <v>422</v>
      </c>
      <c r="CM5" s="1382" t="s">
        <v>439</v>
      </c>
      <c r="CN5" s="1463" t="s">
        <v>366</v>
      </c>
      <c r="CO5" s="1463" t="s">
        <v>359</v>
      </c>
      <c r="CP5" s="1463" t="s">
        <v>365</v>
      </c>
      <c r="CQ5" s="1478" t="s">
        <v>364</v>
      </c>
      <c r="CR5" s="1478" t="s">
        <v>364</v>
      </c>
      <c r="CS5" s="1395" t="s">
        <v>384</v>
      </c>
      <c r="CT5" s="1395" t="s">
        <v>387</v>
      </c>
      <c r="CU5" s="1395" t="s">
        <v>225</v>
      </c>
      <c r="CV5" s="1395" t="s">
        <v>309</v>
      </c>
      <c r="CW5" s="1395" t="s">
        <v>329</v>
      </c>
      <c r="CX5" s="1395" t="s">
        <v>336</v>
      </c>
      <c r="CY5" s="1395" t="s">
        <v>432</v>
      </c>
      <c r="CZ5" s="1395" t="s">
        <v>433</v>
      </c>
      <c r="DA5" s="1395" t="s">
        <v>434</v>
      </c>
      <c r="DB5" s="1370" t="s">
        <v>191</v>
      </c>
      <c r="DC5" s="1370" t="s">
        <v>192</v>
      </c>
      <c r="DD5" s="1370" t="s">
        <v>193</v>
      </c>
      <c r="DE5" s="1386" t="s">
        <v>164</v>
      </c>
      <c r="DF5" s="1386" t="s">
        <v>403</v>
      </c>
      <c r="DG5" s="1395" t="s">
        <v>440</v>
      </c>
      <c r="DH5" s="1382" t="s">
        <v>421</v>
      </c>
      <c r="DI5" s="1382" t="s">
        <v>422</v>
      </c>
      <c r="DJ5" s="1382" t="s">
        <v>438</v>
      </c>
      <c r="DK5" s="1382" t="s">
        <v>472</v>
      </c>
      <c r="DL5" s="1382" t="s">
        <v>476</v>
      </c>
      <c r="DM5" s="1385" t="s">
        <v>525</v>
      </c>
      <c r="DN5" s="1385" t="s">
        <v>526</v>
      </c>
      <c r="DO5" s="1385" t="s">
        <v>527</v>
      </c>
      <c r="DP5" s="1385" t="s">
        <v>528</v>
      </c>
      <c r="DQ5" s="1385" t="s">
        <v>529</v>
      </c>
      <c r="DR5" s="1385" t="s">
        <v>530</v>
      </c>
      <c r="DS5" s="1385" t="s">
        <v>531</v>
      </c>
      <c r="DT5" s="1385" t="s">
        <v>532</v>
      </c>
      <c r="DU5" s="1364" t="s">
        <v>533</v>
      </c>
      <c r="DV5" s="1364" t="s">
        <v>534</v>
      </c>
      <c r="DW5" s="1361" t="s">
        <v>535</v>
      </c>
      <c r="DX5" s="1385" t="s">
        <v>536</v>
      </c>
      <c r="DY5" s="1358" t="s">
        <v>537</v>
      </c>
      <c r="DZ5" s="1361" t="s">
        <v>538</v>
      </c>
      <c r="EA5" s="1358" t="s">
        <v>539</v>
      </c>
      <c r="EB5" s="1389" t="s">
        <v>583</v>
      </c>
      <c r="EC5" s="1389" t="s">
        <v>584</v>
      </c>
      <c r="ED5" s="1389" t="s">
        <v>585</v>
      </c>
      <c r="EE5" s="1389" t="s">
        <v>618</v>
      </c>
      <c r="EF5" s="1389" t="s">
        <v>622</v>
      </c>
      <c r="EG5" s="1358" t="s">
        <v>620</v>
      </c>
      <c r="EH5" s="1358" t="s">
        <v>621</v>
      </c>
      <c r="EI5" s="1358" t="s">
        <v>587</v>
      </c>
      <c r="EJ5" s="1358" t="s">
        <v>588</v>
      </c>
      <c r="EK5" s="1373" t="s">
        <v>665</v>
      </c>
      <c r="EL5" s="1376" t="s">
        <v>681</v>
      </c>
      <c r="EM5" s="1377"/>
      <c r="EN5" s="1378"/>
      <c r="EO5" s="1370" t="s">
        <v>738</v>
      </c>
      <c r="EP5" s="1370" t="s">
        <v>740</v>
      </c>
      <c r="EQ5" s="1370" t="s">
        <v>741</v>
      </c>
      <c r="ER5" s="1370" t="s">
        <v>746</v>
      </c>
      <c r="ES5" s="1370" t="s">
        <v>751</v>
      </c>
      <c r="ET5" s="1367" t="s">
        <v>812</v>
      </c>
      <c r="EU5" s="1367" t="s">
        <v>813</v>
      </c>
      <c r="EV5" s="1475" t="s">
        <v>829</v>
      </c>
      <c r="EW5" s="1475" t="s">
        <v>834</v>
      </c>
      <c r="EX5" s="1472" t="s">
        <v>845</v>
      </c>
      <c r="EY5" s="1466" t="s">
        <v>850</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737</v>
      </c>
      <c r="B7" s="1426"/>
      <c r="C7" s="1429"/>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682</v>
      </c>
      <c r="EM7" s="641" t="s">
        <v>95</v>
      </c>
      <c r="EN7" s="641" t="s">
        <v>96</v>
      </c>
      <c r="EO7" s="1372"/>
      <c r="EP7" s="1372"/>
      <c r="EQ7" s="1372"/>
      <c r="ER7" s="1372"/>
      <c r="ES7" s="1372"/>
      <c r="ET7" s="1369"/>
      <c r="EU7" s="1369"/>
      <c r="EV7" s="1477"/>
      <c r="EW7" s="1477"/>
      <c r="EX7" s="1474"/>
      <c r="EY7" s="1468"/>
    </row>
    <row r="8" spans="1:155"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row>
    <row r="9" spans="1:155" ht="14.25" customHeight="1">
      <c r="A9" s="20" t="s">
        <v>45</v>
      </c>
      <c r="B9" s="21" t="s">
        <v>398</v>
      </c>
      <c r="C9" s="22" t="s">
        <v>3</v>
      </c>
      <c r="D9" s="23" t="s">
        <v>20</v>
      </c>
      <c r="E9" s="21" t="s">
        <v>21</v>
      </c>
      <c r="F9" s="21">
        <v>32</v>
      </c>
      <c r="G9" s="6"/>
      <c r="H9" s="136" t="s">
        <v>241</v>
      </c>
      <c r="I9" s="180">
        <v>5258</v>
      </c>
      <c r="J9" s="181">
        <v>2897</v>
      </c>
      <c r="K9" s="181">
        <v>2727</v>
      </c>
      <c r="L9" s="181">
        <v>5395</v>
      </c>
      <c r="M9" s="181">
        <v>741</v>
      </c>
      <c r="N9" s="181">
        <v>942</v>
      </c>
      <c r="O9" s="181">
        <v>1640</v>
      </c>
      <c r="P9" s="181">
        <v>740</v>
      </c>
      <c r="Q9" s="181">
        <v>558</v>
      </c>
      <c r="R9" s="181">
        <v>7830</v>
      </c>
      <c r="S9" s="181">
        <v>3244</v>
      </c>
      <c r="T9" s="181">
        <v>675</v>
      </c>
      <c r="U9" s="181">
        <v>747</v>
      </c>
      <c r="V9" s="181">
        <v>3172</v>
      </c>
      <c r="W9" s="181">
        <v>244</v>
      </c>
      <c r="X9" s="188">
        <v>313</v>
      </c>
      <c r="Y9" s="191">
        <v>35</v>
      </c>
      <c r="Z9" s="181">
        <v>63</v>
      </c>
      <c r="AA9" s="181">
        <v>60</v>
      </c>
      <c r="AB9" s="181">
        <v>38</v>
      </c>
      <c r="AC9" s="181">
        <v>0</v>
      </c>
      <c r="AD9" s="181">
        <v>0</v>
      </c>
      <c r="AE9" s="181">
        <v>0</v>
      </c>
      <c r="AF9" s="188">
        <v>0</v>
      </c>
      <c r="AG9" s="191">
        <v>54</v>
      </c>
      <c r="AH9" s="181">
        <v>26</v>
      </c>
      <c r="AI9" s="181">
        <v>23</v>
      </c>
      <c r="AJ9" s="192">
        <v>57</v>
      </c>
      <c r="AK9" s="180">
        <v>0</v>
      </c>
      <c r="AL9" s="181">
        <v>0</v>
      </c>
      <c r="AM9" s="181">
        <v>0</v>
      </c>
      <c r="AN9" s="188">
        <v>0</v>
      </c>
      <c r="AO9" s="258">
        <v>6</v>
      </c>
      <c r="AP9" s="154">
        <v>6</v>
      </c>
      <c r="AQ9" s="154">
        <v>6</v>
      </c>
      <c r="AR9" s="193">
        <v>6</v>
      </c>
      <c r="AS9" s="338" t="s">
        <v>794</v>
      </c>
      <c r="AT9" s="195"/>
      <c r="AU9" s="194"/>
      <c r="AV9" s="195"/>
      <c r="AW9" s="194"/>
      <c r="AX9" s="195"/>
      <c r="AY9" s="123">
        <f>IF(ISNUMBER(IF(J_V="SI",S9,S9+AG9)),IF(J_V="SI",S9,S9+AG9)," - ")</f>
        <v>3298</v>
      </c>
      <c r="AZ9" s="123">
        <f>IF(ISNUMBER(IF(J_V="SI",T9,T9+AH9)),IF(J_V="SI",T9,T9+AH9)," - ")</f>
        <v>701</v>
      </c>
      <c r="BA9" s="124">
        <f>IF(ISNUMBER(IF(J_V="SI",U9,U9+AI9)),IF(J_V="SI",U9,U9+AI9)," - ")</f>
        <v>770</v>
      </c>
      <c r="BB9" s="124">
        <f>IF(ISNUMBER(IF(J_V="SI",V9,V9+AJ9)),IF(J_V="SI",V9,V9+AJ9)," - ")</f>
        <v>3229</v>
      </c>
      <c r="BC9" s="125">
        <f>IF(ISNUMBER(X9),X9," - ")</f>
        <v>313</v>
      </c>
      <c r="BD9" s="126">
        <f>IF(ISNUMBER(BA9/AZ9),BA9/AZ9," - ")</f>
        <v>1.0984308131241085</v>
      </c>
      <c r="BE9" s="127">
        <f>IF(ISNUMBER(BB9/BA9),BB9/BA9, " - ")</f>
        <v>4.1935064935064936</v>
      </c>
      <c r="BF9" s="127">
        <f>IF(ISNUMBER(BC9/BA9),BC9/BA9, " - ")</f>
        <v>0.40649350649350652</v>
      </c>
      <c r="BG9" s="196">
        <f>IF(ISNUMBER((AY9+AZ9)/BA9),(AY9+AZ9)/BA9," - ")</f>
        <v>5.1935064935064936</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row>
    <row r="10" spans="1:155" ht="14.25" customHeight="1">
      <c r="A10" s="20" t="s">
        <v>139</v>
      </c>
      <c r="B10" s="21" t="s">
        <v>398</v>
      </c>
      <c r="C10" s="22" t="s">
        <v>3</v>
      </c>
      <c r="D10" s="23" t="s">
        <v>82</v>
      </c>
      <c r="E10" s="21" t="s">
        <v>82</v>
      </c>
      <c r="F10" s="21" t="s">
        <v>134</v>
      </c>
      <c r="G10" s="6"/>
      <c r="H10" s="28"/>
      <c r="I10" s="180">
        <v>213</v>
      </c>
      <c r="J10" s="181">
        <v>58</v>
      </c>
      <c r="K10" s="181">
        <v>58</v>
      </c>
      <c r="L10" s="181">
        <v>213</v>
      </c>
      <c r="M10" s="181">
        <v>24</v>
      </c>
      <c r="N10" s="181">
        <v>28</v>
      </c>
      <c r="O10" s="181">
        <v>17</v>
      </c>
      <c r="P10" s="181">
        <v>13</v>
      </c>
      <c r="Q10" s="181">
        <v>12</v>
      </c>
      <c r="R10" s="181">
        <v>180</v>
      </c>
      <c r="S10" s="181">
        <v>148</v>
      </c>
      <c r="T10" s="181">
        <v>74</v>
      </c>
      <c r="U10" s="181">
        <v>40</v>
      </c>
      <c r="V10" s="181">
        <v>182</v>
      </c>
      <c r="W10" s="181">
        <v>10</v>
      </c>
      <c r="X10" s="188">
        <v>35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788</v>
      </c>
      <c r="AT10" s="192"/>
      <c r="AU10" s="200"/>
      <c r="AV10" s="192"/>
      <c r="AW10" s="200"/>
      <c r="AX10" s="192"/>
      <c r="AY10" s="128">
        <f t="shared" ref="AY10:BC10" si="0">IF(ISNUMBER(S10),S10," - ")</f>
        <v>148</v>
      </c>
      <c r="AZ10" s="129">
        <f t="shared" si="0"/>
        <v>74</v>
      </c>
      <c r="BA10" s="129">
        <f t="shared" si="0"/>
        <v>40</v>
      </c>
      <c r="BB10" s="129">
        <f t="shared" si="0"/>
        <v>182</v>
      </c>
      <c r="BC10" s="125">
        <f t="shared" si="0"/>
        <v>10</v>
      </c>
      <c r="BD10" s="126">
        <f>IF(ISNUMBER(BA10/AZ10),BA10/AZ10," - ")</f>
        <v>0.54054054054054057</v>
      </c>
      <c r="BE10" s="127">
        <f>IF(ISNUMBER(BB10/BA10),BB10/BA10, " - ")</f>
        <v>4.55</v>
      </c>
      <c r="BF10" s="127">
        <f>IF(ISNUMBER(BC10/BA10),BC10/BA10, " - ")</f>
        <v>0.25</v>
      </c>
      <c r="BG10" s="196">
        <f>IF(ISNUMBER((AY10+AZ10)/BA10),(AY10+AZ10)/BA10," - ")</f>
        <v>5.55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row>
    <row r="11" spans="1:155" ht="14.25" customHeight="1" thickBot="1">
      <c r="A11" s="20" t="s">
        <v>399</v>
      </c>
      <c r="B11" s="21" t="s">
        <v>398</v>
      </c>
      <c r="C11" s="22" t="s">
        <v>3</v>
      </c>
      <c r="D11" s="23" t="s">
        <v>20</v>
      </c>
      <c r="E11" s="21" t="s">
        <v>51</v>
      </c>
      <c r="F11" s="21">
        <v>32</v>
      </c>
      <c r="G11" s="6"/>
      <c r="H11" s="28" t="s">
        <v>36</v>
      </c>
      <c r="I11" s="182">
        <v>924</v>
      </c>
      <c r="J11" s="183">
        <v>300</v>
      </c>
      <c r="K11" s="183">
        <v>347</v>
      </c>
      <c r="L11" s="183">
        <v>877</v>
      </c>
      <c r="M11" s="183">
        <v>159</v>
      </c>
      <c r="N11" s="183">
        <v>260</v>
      </c>
      <c r="O11" s="181">
        <v>79</v>
      </c>
      <c r="P11" s="183">
        <v>35</v>
      </c>
      <c r="Q11" s="183">
        <v>25</v>
      </c>
      <c r="R11" s="183">
        <v>630</v>
      </c>
      <c r="S11" s="183">
        <v>748</v>
      </c>
      <c r="T11" s="183">
        <v>215</v>
      </c>
      <c r="U11" s="183">
        <v>136</v>
      </c>
      <c r="V11" s="183">
        <v>827</v>
      </c>
      <c r="W11" s="183">
        <v>51</v>
      </c>
      <c r="X11" s="189">
        <v>167</v>
      </c>
      <c r="Y11" s="191">
        <v>53</v>
      </c>
      <c r="Z11" s="181">
        <v>98</v>
      </c>
      <c r="AA11" s="181">
        <v>127</v>
      </c>
      <c r="AB11" s="181">
        <v>24</v>
      </c>
      <c r="AC11" s="183">
        <v>0</v>
      </c>
      <c r="AD11" s="183">
        <v>0</v>
      </c>
      <c r="AE11" s="183">
        <v>0</v>
      </c>
      <c r="AF11" s="189">
        <v>0</v>
      </c>
      <c r="AG11" s="202">
        <v>79</v>
      </c>
      <c r="AH11" s="183">
        <v>87</v>
      </c>
      <c r="AI11" s="183">
        <v>99</v>
      </c>
      <c r="AJ11" s="203">
        <v>67</v>
      </c>
      <c r="AK11" s="182">
        <v>0</v>
      </c>
      <c r="AL11" s="183">
        <v>0</v>
      </c>
      <c r="AM11" s="183">
        <v>0</v>
      </c>
      <c r="AN11" s="189">
        <v>0</v>
      </c>
      <c r="AO11" s="259">
        <v>1</v>
      </c>
      <c r="AP11" s="155">
        <v>1</v>
      </c>
      <c r="AQ11" s="155">
        <v>1</v>
      </c>
      <c r="AR11" s="154">
        <v>1</v>
      </c>
      <c r="AS11" s="340" t="s">
        <v>795</v>
      </c>
      <c r="AT11" s="203"/>
      <c r="AU11" s="202"/>
      <c r="AV11" s="203"/>
      <c r="AW11" s="202"/>
      <c r="AX11" s="203"/>
      <c r="AY11" s="126">
        <f t="shared" ref="AY11:BB12" si="1">IF(ISNUMBER(IF(J_V="SI",S11,S11+AG11)),IF(J_V="SI",S11,S11+AG11)," - ")</f>
        <v>827</v>
      </c>
      <c r="AZ11" s="127">
        <f t="shared" si="1"/>
        <v>302</v>
      </c>
      <c r="BA11" s="127">
        <f t="shared" si="1"/>
        <v>235</v>
      </c>
      <c r="BB11" s="127">
        <f t="shared" si="1"/>
        <v>894</v>
      </c>
      <c r="BC11" s="125">
        <f>IF(ISNUMBER(X11),X11," - ")</f>
        <v>167</v>
      </c>
      <c r="BD11" s="126">
        <f t="shared" ref="BD11:BD12" si="2">IF(ISNUMBER(BA11/AZ11),BA11/AZ11," - ")</f>
        <v>0.77814569536423839</v>
      </c>
      <c r="BE11" s="127">
        <f t="shared" ref="BE11:BE12" si="3">IF(ISNUMBER(BB11/BA11),BB11/BA11, " - ")</f>
        <v>3.8042553191489361</v>
      </c>
      <c r="BF11" s="127">
        <f t="shared" ref="BF11:BF12" si="4">IF(ISNUMBER(BC11/BA11),BC11/BA11, " - ")</f>
        <v>0.71063829787234045</v>
      </c>
      <c r="BG11" s="196">
        <f t="shared" ref="BG11:BG12" si="5">IF(ISNUMBER((AY11+AZ11)/BA11),(AY11+AZ11)/BA11," - ")</f>
        <v>4.8042553191489361</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row>
    <row r="12" spans="1:155" ht="14.25" customHeight="1">
      <c r="A12" s="20" t="s">
        <v>400</v>
      </c>
      <c r="B12" s="21" t="s">
        <v>398</v>
      </c>
      <c r="C12" s="22" t="s">
        <v>3</v>
      </c>
      <c r="D12" s="23" t="s">
        <v>20</v>
      </c>
      <c r="E12" s="21" t="s">
        <v>20</v>
      </c>
      <c r="F12" s="21">
        <v>31</v>
      </c>
      <c r="G12" s="6"/>
      <c r="H12" s="215"/>
      <c r="I12" s="182">
        <v>1</v>
      </c>
      <c r="J12" s="183">
        <v>0</v>
      </c>
      <c r="K12" s="183">
        <v>0</v>
      </c>
      <c r="L12" s="183">
        <v>1</v>
      </c>
      <c r="M12" s="183">
        <v>0</v>
      </c>
      <c r="N12" s="183">
        <v>0</v>
      </c>
      <c r="O12" s="181">
        <v>0</v>
      </c>
      <c r="P12" s="183">
        <v>0</v>
      </c>
      <c r="Q12" s="183">
        <v>2</v>
      </c>
      <c r="R12" s="183">
        <v>49</v>
      </c>
      <c r="S12" s="183">
        <v>1</v>
      </c>
      <c r="T12" s="183">
        <v>0</v>
      </c>
      <c r="U12" s="183">
        <v>0</v>
      </c>
      <c r="V12" s="183">
        <v>1</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1</v>
      </c>
      <c r="AZ12" s="127">
        <f t="shared" si="1"/>
        <v>0</v>
      </c>
      <c r="BA12" s="127">
        <f t="shared" si="1"/>
        <v>0</v>
      </c>
      <c r="BB12" s="127">
        <f t="shared" si="1"/>
        <v>1</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row>
    <row r="13" spans="1:155" ht="14.25" customHeight="1" thickBot="1">
      <c r="A13" s="74" t="s">
        <v>0</v>
      </c>
      <c r="B13" s="75" t="s">
        <v>398</v>
      </c>
      <c r="C13" s="76" t="s">
        <v>4</v>
      </c>
      <c r="D13" s="77"/>
      <c r="E13" s="78"/>
      <c r="F13" s="78"/>
      <c r="G13" s="79"/>
      <c r="H13" s="80"/>
      <c r="I13" s="184">
        <f t="shared" ref="I13:AE13" si="6">SUBTOTAL(9,I8:I12)</f>
        <v>6396</v>
      </c>
      <c r="J13" s="184">
        <f t="shared" si="6"/>
        <v>3255</v>
      </c>
      <c r="K13" s="184">
        <f t="shared" si="6"/>
        <v>3132</v>
      </c>
      <c r="L13" s="184">
        <f t="shared" si="6"/>
        <v>6486</v>
      </c>
      <c r="M13" s="184">
        <f t="shared" si="6"/>
        <v>924</v>
      </c>
      <c r="N13" s="184">
        <f t="shared" si="6"/>
        <v>1230</v>
      </c>
      <c r="O13" s="184">
        <f t="shared" si="6"/>
        <v>1736</v>
      </c>
      <c r="P13" s="184">
        <f t="shared" si="6"/>
        <v>788</v>
      </c>
      <c r="Q13" s="184">
        <f t="shared" si="6"/>
        <v>597</v>
      </c>
      <c r="R13" s="184">
        <f t="shared" si="6"/>
        <v>8689</v>
      </c>
      <c r="S13" s="184">
        <f t="shared" si="6"/>
        <v>4141</v>
      </c>
      <c r="T13" s="184">
        <f t="shared" si="6"/>
        <v>964</v>
      </c>
      <c r="U13" s="184">
        <f t="shared" si="6"/>
        <v>923</v>
      </c>
      <c r="V13" s="184">
        <f t="shared" si="6"/>
        <v>4182</v>
      </c>
      <c r="W13" s="184">
        <f t="shared" si="6"/>
        <v>305</v>
      </c>
      <c r="X13" s="184">
        <f t="shared" si="6"/>
        <v>515</v>
      </c>
      <c r="Y13" s="184">
        <f t="shared" si="6"/>
        <v>88</v>
      </c>
      <c r="Z13" s="184">
        <f t="shared" si="6"/>
        <v>161</v>
      </c>
      <c r="AA13" s="184">
        <f t="shared" si="6"/>
        <v>187</v>
      </c>
      <c r="AB13" s="184">
        <f t="shared" si="6"/>
        <v>62</v>
      </c>
      <c r="AC13" s="184">
        <f t="shared" si="6"/>
        <v>0</v>
      </c>
      <c r="AD13" s="184">
        <f t="shared" si="6"/>
        <v>0</v>
      </c>
      <c r="AE13" s="184">
        <f t="shared" si="6"/>
        <v>0</v>
      </c>
      <c r="AF13" s="184">
        <f>SUBTOTAL(9,AF9:AF12)</f>
        <v>0</v>
      </c>
      <c r="AG13" s="184">
        <f t="shared" ref="AG13:AT13" si="7">SUBTOTAL(9,AG8:AG12)</f>
        <v>133</v>
      </c>
      <c r="AH13" s="184">
        <f t="shared" si="7"/>
        <v>113</v>
      </c>
      <c r="AI13" s="184">
        <f t="shared" si="7"/>
        <v>122</v>
      </c>
      <c r="AJ13" s="184">
        <f t="shared" si="7"/>
        <v>124</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4274</v>
      </c>
      <c r="AZ13" s="184">
        <f>SUBTOTAL(9,AZ8:AZ12)</f>
        <v>1077</v>
      </c>
      <c r="BA13" s="184">
        <f>SUBTOTAL(9,BA8:BA12)</f>
        <v>1045</v>
      </c>
      <c r="BB13" s="184">
        <f>SUBTOTAL(9,BB8:BB12)</f>
        <v>4306</v>
      </c>
      <c r="BC13" s="184">
        <f>SUBTOTAL(9,BC8:BC12)</f>
        <v>490</v>
      </c>
      <c r="BD13" s="205">
        <f>IF(ISNUMBER(BA13/AZ13),BA13/AZ13," - ")</f>
        <v>0.97028783658310125</v>
      </c>
      <c r="BE13" s="206">
        <f>IF(ISNUMBER(BB13/BA13),BB13/BA13, " - ")</f>
        <v>4.1205741626794259</v>
      </c>
      <c r="BF13" s="206">
        <f>IF(ISNUMBER(BC13/BA13),BC13/BA13, " - ")</f>
        <v>0.46889952153110048</v>
      </c>
      <c r="BG13" s="207">
        <f>IF(ISNUMBER((AY13+AZ13)/BA13),(AY13+AZ13)/BA13," - ")</f>
        <v>5.1205741626794259</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401</v>
      </c>
      <c r="B15" s="21" t="s">
        <v>398</v>
      </c>
      <c r="C15" s="22" t="s">
        <v>3</v>
      </c>
      <c r="D15" s="23" t="s">
        <v>20</v>
      </c>
      <c r="E15" s="21" t="s">
        <v>22</v>
      </c>
      <c r="F15" s="21">
        <v>33</v>
      </c>
      <c r="G15" s="6"/>
      <c r="H15" s="24"/>
      <c r="I15" s="182">
        <v>3399</v>
      </c>
      <c r="J15" s="183">
        <v>1645</v>
      </c>
      <c r="K15" s="183">
        <v>1865</v>
      </c>
      <c r="L15" s="183">
        <v>3187</v>
      </c>
      <c r="M15" s="183">
        <v>329</v>
      </c>
      <c r="N15" s="183">
        <v>900</v>
      </c>
      <c r="O15" s="181">
        <v>71</v>
      </c>
      <c r="P15" s="183">
        <v>72</v>
      </c>
      <c r="Q15" s="183">
        <v>82</v>
      </c>
      <c r="R15" s="183">
        <v>313</v>
      </c>
      <c r="S15" s="183">
        <v>2031</v>
      </c>
      <c r="T15" s="183">
        <v>1777</v>
      </c>
      <c r="U15" s="183">
        <v>1388</v>
      </c>
      <c r="V15" s="183">
        <v>2441</v>
      </c>
      <c r="W15" s="183">
        <v>219</v>
      </c>
      <c r="X15" s="189">
        <v>803</v>
      </c>
      <c r="Y15" s="202">
        <v>0</v>
      </c>
      <c r="Z15" s="183">
        <v>0</v>
      </c>
      <c r="AA15" s="183">
        <v>0</v>
      </c>
      <c r="AB15" s="183">
        <v>0</v>
      </c>
      <c r="AC15" s="183">
        <v>22</v>
      </c>
      <c r="AD15" s="183">
        <v>27</v>
      </c>
      <c r="AE15" s="183">
        <v>43</v>
      </c>
      <c r="AF15" s="189">
        <v>6</v>
      </c>
      <c r="AG15" s="202">
        <v>0</v>
      </c>
      <c r="AH15" s="183">
        <v>0</v>
      </c>
      <c r="AI15" s="183">
        <v>0</v>
      </c>
      <c r="AJ15" s="203">
        <v>0</v>
      </c>
      <c r="AK15" s="182">
        <v>0</v>
      </c>
      <c r="AL15" s="183">
        <v>22</v>
      </c>
      <c r="AM15" s="183">
        <v>21</v>
      </c>
      <c r="AN15" s="189">
        <v>1</v>
      </c>
      <c r="AO15" s="259">
        <v>3</v>
      </c>
      <c r="AP15" s="155">
        <v>3</v>
      </c>
      <c r="AQ15" s="155">
        <v>3</v>
      </c>
      <c r="AR15" s="155">
        <v>3</v>
      </c>
      <c r="AS15" s="340" t="s">
        <v>522</v>
      </c>
      <c r="AT15" s="203" t="s">
        <v>322</v>
      </c>
      <c r="AU15" s="202"/>
      <c r="AV15" s="203"/>
      <c r="AW15" s="202"/>
      <c r="AX15" s="203"/>
      <c r="AY15" s="128">
        <f t="shared" ref="AY15:BB16" si="9">IF(ISNUMBER(IF(D_I="SI",S15,S15+AK15)),IF(D_I="SI",S15,S15+AK15)," - ")</f>
        <v>2031</v>
      </c>
      <c r="AZ15" s="129">
        <f t="shared" si="9"/>
        <v>1777</v>
      </c>
      <c r="BA15" s="129">
        <f t="shared" si="9"/>
        <v>1388</v>
      </c>
      <c r="BB15" s="129">
        <f t="shared" si="9"/>
        <v>2441</v>
      </c>
      <c r="BC15" s="125">
        <f>IF(ISNUMBER(W15),W15," - ")</f>
        <v>219</v>
      </c>
      <c r="BD15" s="126">
        <f>IF(ISNUMBER(BA15/AZ15),BA15/AZ15," - ")</f>
        <v>0.78109172763083845</v>
      </c>
      <c r="BE15" s="127">
        <f>IF(ISNUMBER(BB15/BA15),BB15/BA15, " - ")</f>
        <v>1.7586455331412103</v>
      </c>
      <c r="BF15" s="127">
        <f>IF(ISNUMBER(BC15/BA15),BC15/BA15, " - ")</f>
        <v>0.15778097982708933</v>
      </c>
      <c r="BG15" s="196">
        <f t="shared" ref="BG15:BG16" si="10">IF(ISNUMBER((AY15+AZ15)/BA15),(AY15+AZ15)/BA15," - ")</f>
        <v>2.7435158501440924</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row>
    <row r="16" spans="1:155"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row>
    <row r="17" spans="1:155" ht="14.25" customHeight="1">
      <c r="A17" s="7" t="s">
        <v>139</v>
      </c>
      <c r="B17" s="21" t="s">
        <v>398</v>
      </c>
      <c r="C17" s="22" t="s">
        <v>3</v>
      </c>
      <c r="D17" s="23" t="s">
        <v>82</v>
      </c>
      <c r="E17" s="21" t="s">
        <v>82</v>
      </c>
      <c r="F17" s="21" t="s">
        <v>134</v>
      </c>
      <c r="G17" s="6"/>
      <c r="H17" s="24"/>
      <c r="I17" s="182">
        <v>329</v>
      </c>
      <c r="J17" s="183">
        <v>220</v>
      </c>
      <c r="K17" s="183">
        <v>189</v>
      </c>
      <c r="L17" s="183">
        <v>360</v>
      </c>
      <c r="M17" s="183">
        <v>34</v>
      </c>
      <c r="N17" s="183">
        <v>78</v>
      </c>
      <c r="O17" s="183">
        <v>0</v>
      </c>
      <c r="P17" s="183">
        <v>0</v>
      </c>
      <c r="Q17" s="183">
        <v>0</v>
      </c>
      <c r="R17" s="183">
        <v>5</v>
      </c>
      <c r="S17" s="183">
        <v>262</v>
      </c>
      <c r="T17" s="183">
        <v>210</v>
      </c>
      <c r="U17" s="183">
        <v>210</v>
      </c>
      <c r="V17" s="183">
        <v>262</v>
      </c>
      <c r="W17" s="183">
        <v>33</v>
      </c>
      <c r="X17" s="189">
        <v>86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787</v>
      </c>
      <c r="AT17" s="209"/>
      <c r="AU17" s="200"/>
      <c r="AV17" s="209"/>
      <c r="AW17" s="200"/>
      <c r="AX17" s="209"/>
      <c r="AY17" s="128">
        <f t="shared" ref="AY17:BB17" si="14">IF(ISNUMBER(S17),S17," - ")</f>
        <v>262</v>
      </c>
      <c r="AZ17" s="129">
        <f t="shared" si="14"/>
        <v>210</v>
      </c>
      <c r="BA17" s="129">
        <f t="shared" si="14"/>
        <v>210</v>
      </c>
      <c r="BB17" s="129">
        <f t="shared" si="14"/>
        <v>262</v>
      </c>
      <c r="BC17" s="125">
        <f>IF(ISNUMBER(W17),W17," - ")</f>
        <v>33</v>
      </c>
      <c r="BD17" s="126">
        <f>IF(ISNUMBER(BA17/AZ17),BA17/AZ17," - ")</f>
        <v>1</v>
      </c>
      <c r="BE17" s="127">
        <f>IF(ISNUMBER(BB17/BA17),BB17/BA17, " - ")</f>
        <v>1.2476190476190476</v>
      </c>
      <c r="BF17" s="127">
        <f>IF(ISNUMBER(BC17/BA17),BC17/BA17, " - ")</f>
        <v>0.15714285714285714</v>
      </c>
      <c r="BG17" s="196">
        <f>IF(ISNUMBER((AY17+AZ17)/BA17),(AY17+AZ17)/BA17," - ")</f>
        <v>2.2476190476190476</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row>
    <row r="18" spans="1:155" ht="14.25" customHeight="1" thickBot="1">
      <c r="A18" s="74" t="s">
        <v>0</v>
      </c>
      <c r="B18" s="75" t="s">
        <v>398</v>
      </c>
      <c r="C18" s="76" t="s">
        <v>4</v>
      </c>
      <c r="D18" s="77"/>
      <c r="E18" s="78"/>
      <c r="F18" s="78"/>
      <c r="G18" s="79"/>
      <c r="H18" s="80"/>
      <c r="I18" s="184">
        <f t="shared" ref="I18:AT18" si="15">SUBTOTAL(9,I14:I17)</f>
        <v>3728</v>
      </c>
      <c r="J18" s="184">
        <f t="shared" si="15"/>
        <v>1865</v>
      </c>
      <c r="K18" s="184">
        <f t="shared" si="15"/>
        <v>2054</v>
      </c>
      <c r="L18" s="184">
        <f t="shared" si="15"/>
        <v>3547</v>
      </c>
      <c r="M18" s="184">
        <f t="shared" si="15"/>
        <v>363</v>
      </c>
      <c r="N18" s="184">
        <f t="shared" si="15"/>
        <v>978</v>
      </c>
      <c r="O18" s="184">
        <f t="shared" si="15"/>
        <v>71</v>
      </c>
      <c r="P18" s="184">
        <f t="shared" si="15"/>
        <v>72</v>
      </c>
      <c r="Q18" s="184">
        <f t="shared" si="15"/>
        <v>82</v>
      </c>
      <c r="R18" s="184">
        <f t="shared" si="15"/>
        <v>318</v>
      </c>
      <c r="S18" s="184">
        <f t="shared" si="15"/>
        <v>2293</v>
      </c>
      <c r="T18" s="184">
        <f t="shared" si="15"/>
        <v>1987</v>
      </c>
      <c r="U18" s="184">
        <f t="shared" si="15"/>
        <v>1598</v>
      </c>
      <c r="V18" s="184">
        <f t="shared" si="15"/>
        <v>2703</v>
      </c>
      <c r="W18" s="184">
        <f t="shared" si="15"/>
        <v>252</v>
      </c>
      <c r="X18" s="184">
        <f t="shared" si="15"/>
        <v>889</v>
      </c>
      <c r="Y18" s="184">
        <f t="shared" si="15"/>
        <v>0</v>
      </c>
      <c r="Z18" s="184">
        <f t="shared" si="15"/>
        <v>0</v>
      </c>
      <c r="AA18" s="184">
        <f t="shared" si="15"/>
        <v>0</v>
      </c>
      <c r="AB18" s="184">
        <f t="shared" si="15"/>
        <v>0</v>
      </c>
      <c r="AC18" s="184">
        <f t="shared" si="15"/>
        <v>22</v>
      </c>
      <c r="AD18" s="184">
        <f t="shared" si="15"/>
        <v>27</v>
      </c>
      <c r="AE18" s="184">
        <f t="shared" si="15"/>
        <v>43</v>
      </c>
      <c r="AF18" s="184">
        <f t="shared" si="15"/>
        <v>6</v>
      </c>
      <c r="AG18" s="184">
        <f t="shared" si="15"/>
        <v>0</v>
      </c>
      <c r="AH18" s="184">
        <f t="shared" si="15"/>
        <v>0</v>
      </c>
      <c r="AI18" s="184">
        <f t="shared" si="15"/>
        <v>0</v>
      </c>
      <c r="AJ18" s="184">
        <f t="shared" si="15"/>
        <v>0</v>
      </c>
      <c r="AK18" s="184">
        <f t="shared" si="15"/>
        <v>0</v>
      </c>
      <c r="AL18" s="184">
        <f t="shared" si="15"/>
        <v>22</v>
      </c>
      <c r="AM18" s="184">
        <f t="shared" si="15"/>
        <v>21</v>
      </c>
      <c r="AN18" s="184">
        <f t="shared" si="15"/>
        <v>1</v>
      </c>
      <c r="AO18" s="184">
        <f t="shared" si="15"/>
        <v>4</v>
      </c>
      <c r="AP18" s="184">
        <f t="shared" si="15"/>
        <v>4</v>
      </c>
      <c r="AQ18" s="184">
        <f t="shared" si="15"/>
        <v>4</v>
      </c>
      <c r="AR18" s="184">
        <f t="shared" si="15"/>
        <v>4</v>
      </c>
      <c r="AS18" s="184">
        <f t="shared" si="15"/>
        <v>0</v>
      </c>
      <c r="AT18" s="184">
        <f t="shared" si="15"/>
        <v>0</v>
      </c>
      <c r="AU18" s="204"/>
      <c r="AV18" s="132"/>
      <c r="AW18" s="204"/>
      <c r="AX18" s="132"/>
      <c r="AY18" s="184">
        <f>SUBTOTAL(9,AY14:AY17)</f>
        <v>2293</v>
      </c>
      <c r="AZ18" s="184">
        <f>SUBTOTAL(9,AZ14:AZ17)</f>
        <v>1987</v>
      </c>
      <c r="BA18" s="184">
        <f>SUBTOTAL(9,BA14:BA17)</f>
        <v>1598</v>
      </c>
      <c r="BB18" s="184">
        <f>SUBTOTAL(9,BB14:BB17)</f>
        <v>2703</v>
      </c>
      <c r="BC18" s="184">
        <f>SUBTOTAL(9,BC14:BC17)</f>
        <v>252</v>
      </c>
      <c r="BD18" s="205">
        <f>IF(ISNUMBER(BA18/AZ18),BA18/AZ18," - ")</f>
        <v>0.80422747861097132</v>
      </c>
      <c r="BE18" s="206">
        <f>IF(ISNUMBER(BB18/BA18),BB18/BA18, " - ")</f>
        <v>1.6914893617021276</v>
      </c>
      <c r="BF18" s="206">
        <f>IF(ISNUMBER(BC18/BA18),BC18/BA18, " - ")</f>
        <v>0.15769712140175218</v>
      </c>
      <c r="BG18" s="207">
        <f>IF(ISNUMBER((AY18+AZ18)/BA18),(AY18+AZ18)/BA18," - ")</f>
        <v>2.6783479349186483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10124</v>
      </c>
      <c r="J19" s="134">
        <f t="shared" si="18"/>
        <v>5120</v>
      </c>
      <c r="K19" s="134">
        <f t="shared" si="18"/>
        <v>5186</v>
      </c>
      <c r="L19" s="134">
        <f t="shared" si="18"/>
        <v>10033</v>
      </c>
      <c r="M19" s="134">
        <f t="shared" si="18"/>
        <v>1287</v>
      </c>
      <c r="N19" s="134">
        <f t="shared" si="18"/>
        <v>2208</v>
      </c>
      <c r="O19" s="134">
        <f t="shared" si="18"/>
        <v>1807</v>
      </c>
      <c r="P19" s="134">
        <f t="shared" si="18"/>
        <v>860</v>
      </c>
      <c r="Q19" s="134">
        <f t="shared" si="18"/>
        <v>679</v>
      </c>
      <c r="R19" s="134">
        <f t="shared" si="18"/>
        <v>9007</v>
      </c>
      <c r="S19" s="134">
        <f t="shared" si="18"/>
        <v>6434</v>
      </c>
      <c r="T19" s="134">
        <f t="shared" si="18"/>
        <v>2951</v>
      </c>
      <c r="U19" s="134">
        <f t="shared" si="18"/>
        <v>2521</v>
      </c>
      <c r="V19" s="134">
        <f t="shared" si="18"/>
        <v>6885</v>
      </c>
      <c r="W19" s="134">
        <f t="shared" si="18"/>
        <v>557</v>
      </c>
      <c r="X19" s="134">
        <f t="shared" si="18"/>
        <v>1404</v>
      </c>
      <c r="Y19" s="134">
        <f t="shared" si="18"/>
        <v>88</v>
      </c>
      <c r="Z19" s="134">
        <f t="shared" si="18"/>
        <v>161</v>
      </c>
      <c r="AA19" s="134">
        <f t="shared" si="18"/>
        <v>187</v>
      </c>
      <c r="AB19" s="134">
        <f t="shared" si="18"/>
        <v>62</v>
      </c>
      <c r="AC19" s="134">
        <f t="shared" si="18"/>
        <v>22</v>
      </c>
      <c r="AD19" s="134">
        <f t="shared" si="18"/>
        <v>27</v>
      </c>
      <c r="AE19" s="134">
        <f t="shared" si="18"/>
        <v>43</v>
      </c>
      <c r="AF19" s="134">
        <f t="shared" si="18"/>
        <v>6</v>
      </c>
      <c r="AG19" s="134">
        <f t="shared" si="18"/>
        <v>133</v>
      </c>
      <c r="AH19" s="134">
        <f t="shared" si="18"/>
        <v>113</v>
      </c>
      <c r="AI19" s="134">
        <f t="shared" si="18"/>
        <v>122</v>
      </c>
      <c r="AJ19" s="134">
        <f t="shared" si="18"/>
        <v>124</v>
      </c>
      <c r="AK19" s="134">
        <f t="shared" si="18"/>
        <v>0</v>
      </c>
      <c r="AL19" s="134">
        <f t="shared" si="18"/>
        <v>22</v>
      </c>
      <c r="AM19" s="134">
        <f t="shared" si="18"/>
        <v>21</v>
      </c>
      <c r="AN19" s="210">
        <f t="shared" si="18"/>
        <v>1</v>
      </c>
      <c r="AO19" s="211">
        <v>11</v>
      </c>
      <c r="AP19" s="211">
        <v>11</v>
      </c>
      <c r="AQ19" s="211">
        <v>11</v>
      </c>
      <c r="AR19" s="211">
        <v>11</v>
      </c>
      <c r="AS19" s="153">
        <f t="shared" si="18"/>
        <v>0</v>
      </c>
      <c r="AT19" s="153">
        <f t="shared" si="18"/>
        <v>0</v>
      </c>
      <c r="AU19" s="211"/>
      <c r="AV19" s="212"/>
      <c r="AW19" s="211"/>
      <c r="AX19" s="212"/>
      <c r="AY19" s="133">
        <f>SUBTOTAL(9,AY9:AY18)</f>
        <v>6567</v>
      </c>
      <c r="AZ19" s="134">
        <f>SUBTOTAL(9,AZ9:AZ18)</f>
        <v>3064</v>
      </c>
      <c r="BA19" s="134">
        <f>SUBTOTAL(9,BA9:BA18)</f>
        <v>2643</v>
      </c>
      <c r="BB19" s="134">
        <f>SUBTOTAL(9,BB9:BB18)</f>
        <v>7009</v>
      </c>
      <c r="BC19" s="135">
        <f>SUBTOTAL(9,BC9:BC18)</f>
        <v>742</v>
      </c>
      <c r="BD19" s="213">
        <f>IF(ISNUMBER(BA19/AZ19),BA19/AZ19," - ")</f>
        <v>0.86259791122715401</v>
      </c>
      <c r="BE19" s="210">
        <f>IF(ISNUMBER(BB19/BA19),BB19/BA19, " - ")</f>
        <v>2.6519107075293227</v>
      </c>
      <c r="BF19" s="210">
        <f>IF(ISNUMBER(BC19/BA19),BC19/BA19, " - ")</f>
        <v>0.28074158153613316</v>
      </c>
      <c r="BG19" s="135">
        <f>IF(ISNUMBER((AY19+AZ19)/BA19),(AY19+AZ19)/BA19," - ")</f>
        <v>3.6439651910707531</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UKtbUGzcmYE8HiJ4UFsPUjRSb8Nn+FXP2fUDgOxuvi7shXaJL2aoMhMqrbs3Vu+es2v3q4L/n181xjP271Sezw==" saltValue="qEH4wySZDo0MZTW58Fa5mg=="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404</v>
      </c>
    </row>
    <row r="2" spans="1:155">
      <c r="A2">
        <f>Criterios!C8</f>
        <v>0</v>
      </c>
      <c r="B2">
        <f>Criterios!B8</f>
        <v>0</v>
      </c>
    </row>
    <row r="3" spans="1:155" ht="13.5" thickBot="1">
      <c r="A3" t="str">
        <f>Criterios!A9</f>
        <v>Tribunales de Justicia</v>
      </c>
      <c r="B3" t="str">
        <f>Criterios!B9</f>
        <v>LA RIOJA</v>
      </c>
    </row>
    <row r="4" spans="1:155" ht="13.5" thickBot="1">
      <c r="A4" t="str">
        <f>Criterios!A10</f>
        <v>Provincias</v>
      </c>
      <c r="B4" t="str">
        <f>Criterios!B10</f>
        <v>LA RIOJA</v>
      </c>
      <c r="CE4" s="1392" t="s">
        <v>269</v>
      </c>
      <c r="CF4" s="1393"/>
      <c r="CG4" s="1393"/>
      <c r="CH4" s="1394"/>
    </row>
    <row r="5" spans="1:155" ht="12.75" customHeight="1" thickBot="1">
      <c r="A5" s="1422" t="str">
        <f>"Año:  " &amp;Criterios!B5 &amp; "                  Trimestre   " &amp;Criterios!D5 &amp; " al " &amp;Criterios!D6</f>
        <v>Año:  2024                  Trimestre   1 al 1</v>
      </c>
      <c r="B5" s="1424" t="s">
        <v>395</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150</v>
      </c>
      <c r="AT5" s="1410" t="s">
        <v>151</v>
      </c>
      <c r="AU5" s="1410" t="s">
        <v>234</v>
      </c>
      <c r="AV5" s="1410" t="s">
        <v>232</v>
      </c>
      <c r="AW5" s="1410" t="s">
        <v>235</v>
      </c>
      <c r="AX5" s="1410" t="s">
        <v>233</v>
      </c>
      <c r="AY5" s="1404" t="s">
        <v>108</v>
      </c>
      <c r="AZ5" s="1458"/>
      <c r="BA5" s="1458"/>
      <c r="BB5" s="1458"/>
      <c r="BC5" s="1459"/>
      <c r="BD5" s="1404" t="s">
        <v>109</v>
      </c>
      <c r="BE5" s="1405"/>
      <c r="BF5" s="1405"/>
      <c r="BG5" s="1406"/>
      <c r="BH5" s="1398" t="s">
        <v>143</v>
      </c>
      <c r="BI5" s="1398" t="s">
        <v>144</v>
      </c>
      <c r="BJ5" s="1455" t="s">
        <v>207</v>
      </c>
      <c r="BK5" s="1415" t="s">
        <v>210</v>
      </c>
      <c r="BL5" s="1415" t="s">
        <v>217</v>
      </c>
      <c r="BM5" s="1452" t="s">
        <v>383</v>
      </c>
      <c r="BN5" s="1245"/>
      <c r="BO5" s="1246"/>
      <c r="BP5" s="1245"/>
      <c r="BQ5" s="1246"/>
      <c r="BR5" s="1245"/>
      <c r="BS5" s="1246"/>
      <c r="BT5" s="1245"/>
      <c r="BU5" s="1246"/>
      <c r="BV5" s="1412" t="s">
        <v>268</v>
      </c>
      <c r="BW5" s="1481" t="s">
        <v>248</v>
      </c>
      <c r="BX5" s="1481" t="s">
        <v>249</v>
      </c>
      <c r="BY5" s="1401" t="s">
        <v>255</v>
      </c>
      <c r="BZ5" s="1401" t="s">
        <v>345</v>
      </c>
      <c r="CA5" s="1421" t="s">
        <v>284</v>
      </c>
      <c r="CB5" s="1421" t="s">
        <v>275</v>
      </c>
      <c r="CC5" s="1421" t="s">
        <v>276</v>
      </c>
      <c r="CD5" s="1421" t="s">
        <v>277</v>
      </c>
      <c r="CE5" s="1395" t="s">
        <v>288</v>
      </c>
      <c r="CF5" s="1395" t="s">
        <v>267</v>
      </c>
      <c r="CG5" s="1395" t="s">
        <v>265</v>
      </c>
      <c r="CH5" s="1395" t="s">
        <v>266</v>
      </c>
      <c r="CI5" s="1469" t="s">
        <v>290</v>
      </c>
      <c r="CJ5" s="1469" t="s">
        <v>291</v>
      </c>
      <c r="CK5" s="1382" t="s">
        <v>452</v>
      </c>
      <c r="CL5" s="1382" t="s">
        <v>453</v>
      </c>
      <c r="CM5" s="1382" t="s">
        <v>454</v>
      </c>
      <c r="CN5" s="1463" t="s">
        <v>366</v>
      </c>
      <c r="CO5" s="1463" t="s">
        <v>359</v>
      </c>
      <c r="CP5" s="1463" t="s">
        <v>365</v>
      </c>
      <c r="CQ5" s="1478" t="s">
        <v>364</v>
      </c>
      <c r="CR5" s="1478" t="s">
        <v>42</v>
      </c>
      <c r="CS5" s="1395" t="s">
        <v>384</v>
      </c>
      <c r="CT5" s="1395" t="s">
        <v>387</v>
      </c>
      <c r="CU5" s="1395" t="s">
        <v>225</v>
      </c>
      <c r="CV5" s="1395" t="s">
        <v>309</v>
      </c>
      <c r="CW5" s="1395" t="s">
        <v>329</v>
      </c>
      <c r="CX5" s="1395" t="s">
        <v>336</v>
      </c>
      <c r="CY5" s="1395" t="s">
        <v>432</v>
      </c>
      <c r="CZ5" s="1395" t="s">
        <v>433</v>
      </c>
      <c r="DA5" s="1395" t="s">
        <v>434</v>
      </c>
      <c r="DB5" s="1370" t="s">
        <v>191</v>
      </c>
      <c r="DC5" s="1370" t="s">
        <v>192</v>
      </c>
      <c r="DD5" s="1370" t="s">
        <v>193</v>
      </c>
      <c r="DE5" s="1386" t="s">
        <v>164</v>
      </c>
      <c r="DF5" s="1386" t="s">
        <v>403</v>
      </c>
      <c r="DG5" s="1395" t="s">
        <v>440</v>
      </c>
      <c r="DH5" s="1382" t="s">
        <v>421</v>
      </c>
      <c r="DI5" s="1382" t="s">
        <v>422</v>
      </c>
      <c r="DJ5" s="1382" t="s">
        <v>438</v>
      </c>
      <c r="DK5" s="1382" t="s">
        <v>472</v>
      </c>
      <c r="DL5" s="1382" t="s">
        <v>475</v>
      </c>
      <c r="DM5" s="1385" t="s">
        <v>525</v>
      </c>
      <c r="DN5" s="1385" t="s">
        <v>526</v>
      </c>
      <c r="DO5" s="1385" t="s">
        <v>527</v>
      </c>
      <c r="DP5" s="1385" t="s">
        <v>528</v>
      </c>
      <c r="DQ5" s="1385" t="s">
        <v>529</v>
      </c>
      <c r="DR5" s="1385" t="s">
        <v>530</v>
      </c>
      <c r="DS5" s="1385" t="s">
        <v>531</v>
      </c>
      <c r="DT5" s="1385" t="s">
        <v>532</v>
      </c>
      <c r="DU5" s="1364" t="s">
        <v>533</v>
      </c>
      <c r="DV5" s="1364" t="s">
        <v>534</v>
      </c>
      <c r="DW5" s="1361" t="s">
        <v>535</v>
      </c>
      <c r="DX5" s="1385" t="s">
        <v>536</v>
      </c>
      <c r="DY5" s="1358" t="s">
        <v>537</v>
      </c>
      <c r="DZ5" s="1361" t="s">
        <v>538</v>
      </c>
      <c r="EA5" s="1358" t="s">
        <v>539</v>
      </c>
      <c r="EB5" s="1389" t="s">
        <v>583</v>
      </c>
      <c r="EC5" s="1389" t="s">
        <v>615</v>
      </c>
      <c r="ED5" s="1389" t="s">
        <v>585</v>
      </c>
      <c r="EE5" s="1389" t="s">
        <v>618</v>
      </c>
      <c r="EF5" s="1389" t="s">
        <v>619</v>
      </c>
      <c r="EG5" s="1358" t="s">
        <v>620</v>
      </c>
      <c r="EH5" s="1358" t="s">
        <v>621</v>
      </c>
      <c r="EI5" s="1358" t="s">
        <v>587</v>
      </c>
      <c r="EJ5" s="1358" t="s">
        <v>588</v>
      </c>
      <c r="EK5" s="1484" t="s">
        <v>665</v>
      </c>
      <c r="EL5" s="1376" t="s">
        <v>681</v>
      </c>
      <c r="EM5" s="1377"/>
      <c r="EN5" s="1378"/>
      <c r="EO5" s="1370" t="s">
        <v>738</v>
      </c>
      <c r="EP5" s="1370" t="s">
        <v>740</v>
      </c>
      <c r="EQ5" s="1370" t="s">
        <v>741</v>
      </c>
      <c r="ER5" s="1370" t="s">
        <v>746</v>
      </c>
      <c r="ES5" s="1370" t="s">
        <v>751</v>
      </c>
      <c r="ET5" s="1367" t="s">
        <v>812</v>
      </c>
      <c r="EU5" s="1367" t="s">
        <v>813</v>
      </c>
      <c r="EV5" s="1395" t="s">
        <v>829</v>
      </c>
      <c r="EW5" s="1358" t="s">
        <v>832</v>
      </c>
      <c r="EX5" s="1472" t="s">
        <v>845</v>
      </c>
      <c r="EY5" s="1466" t="s">
        <v>850</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737</v>
      </c>
      <c r="B7" s="1426"/>
      <c r="C7" s="1429"/>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682</v>
      </c>
      <c r="EM7" s="639" t="s">
        <v>95</v>
      </c>
      <c r="EN7" s="639" t="s">
        <v>96</v>
      </c>
      <c r="EO7" s="1372"/>
      <c r="EP7" s="1372"/>
      <c r="EQ7" s="1372"/>
      <c r="ER7" s="1372"/>
      <c r="ES7" s="1372"/>
      <c r="ET7" s="1369"/>
      <c r="EU7" s="1369"/>
      <c r="EV7" s="1397"/>
      <c r="EW7" s="1360"/>
      <c r="EX7" s="1474"/>
      <c r="EY7" s="1468"/>
    </row>
    <row r="8" spans="1:155"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row>
    <row r="9" spans="1:155"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row>
    <row r="10" spans="1:155"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row>
    <row r="11" spans="1:155"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row>
    <row r="12" spans="1:155"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row>
    <row r="13" spans="1:155"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row>
    <row r="16" spans="1:155"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row>
    <row r="17" spans="1:155"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row>
    <row r="18" spans="1:155"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5StFOcw/5tUxj61PnwahkTYc4FIQNNPjAmOjpoZIrb0Yxci+4zMu5Y3He4UbKogKNVQ01Qv2d1dkYcgcZw6Q4g==" saltValue="slRQGJj6tCM8lDkpzbwR4A=="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LA RIOJA</v>
      </c>
    </row>
    <row r="2" spans="1:74" ht="16.5" customHeight="1">
      <c r="C2" s="488" t="str">
        <f>Criterios!A10 &amp;"  "&amp;Criterios!B10 &amp; "  " &amp; IF(NOT(ISBLANK(Criterios!A11)),Criterios!A11 &amp;"  "&amp;Criterios!B11,"")</f>
        <v>Provincias  LA RIOJA  Resumenes por Partidos Judiciales  LOGROÑO</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347</v>
      </c>
      <c r="B5" s="272"/>
      <c r="C5" s="1517" t="str">
        <f>"Año:  " &amp;Criterios!B$5 &amp; "          Trimestre   " &amp;Criterios!D$5 &amp; " al " &amp;Criterios!D$6</f>
        <v>Año:  2024          Trimestre   1 al 1</v>
      </c>
      <c r="D5" s="1490" t="s">
        <v>372</v>
      </c>
      <c r="E5" s="1490" t="s">
        <v>555</v>
      </c>
      <c r="F5" s="1519" t="s">
        <v>402</v>
      </c>
      <c r="G5" s="1490" t="s">
        <v>128</v>
      </c>
      <c r="H5" s="1490" t="s">
        <v>585</v>
      </c>
      <c r="I5" s="1490" t="s">
        <v>556</v>
      </c>
      <c r="J5" s="1490" t="s">
        <v>659</v>
      </c>
      <c r="K5" s="1490" t="s">
        <v>660</v>
      </c>
      <c r="L5" s="1490" t="s">
        <v>557</v>
      </c>
      <c r="M5" s="1490" t="s">
        <v>525</v>
      </c>
      <c r="N5" s="1490" t="s">
        <v>661</v>
      </c>
      <c r="O5" s="1522" t="s">
        <v>583</v>
      </c>
      <c r="P5" s="1490" t="s">
        <v>679</v>
      </c>
      <c r="Q5" s="1490" t="s">
        <v>674</v>
      </c>
      <c r="R5" s="1490" t="s">
        <v>164</v>
      </c>
      <c r="S5" s="1525" t="s">
        <v>671</v>
      </c>
      <c r="T5" s="1525" t="s">
        <v>673</v>
      </c>
      <c r="U5" s="1490" t="s">
        <v>586</v>
      </c>
      <c r="V5" s="1525" t="s">
        <v>558</v>
      </c>
      <c r="W5" s="1490" t="s">
        <v>765</v>
      </c>
      <c r="X5" s="1490" t="s">
        <v>766</v>
      </c>
      <c r="Y5" s="1493" t="s">
        <v>662</v>
      </c>
      <c r="Z5" s="1508" t="s">
        <v>608</v>
      </c>
      <c r="AA5" s="1511" t="s">
        <v>559</v>
      </c>
      <c r="AB5" s="1508" t="s">
        <v>560</v>
      </c>
      <c r="AC5" s="1508" t="s">
        <v>561</v>
      </c>
      <c r="AD5" s="1487" t="s">
        <v>663</v>
      </c>
      <c r="AE5" s="1487" t="s">
        <v>793</v>
      </c>
      <c r="AF5" s="1490" t="s">
        <v>675</v>
      </c>
      <c r="AG5" s="1490" t="s">
        <v>526</v>
      </c>
      <c r="AH5" s="1490" t="s">
        <v>664</v>
      </c>
      <c r="AI5" s="1490" t="s">
        <v>175</v>
      </c>
      <c r="AJ5" s="1490" t="s">
        <v>729</v>
      </c>
      <c r="AK5" s="1490" t="s">
        <v>527</v>
      </c>
      <c r="AL5" s="1490" t="s">
        <v>528</v>
      </c>
      <c r="AM5" s="1490" t="s">
        <v>680</v>
      </c>
      <c r="AN5" s="1490" t="s">
        <v>529</v>
      </c>
      <c r="AO5" s="1490" t="s">
        <v>530</v>
      </c>
      <c r="AP5" s="1490" t="s">
        <v>531</v>
      </c>
      <c r="AQ5" s="1490" t="s">
        <v>532</v>
      </c>
      <c r="AR5" s="1490" t="s">
        <v>665</v>
      </c>
      <c r="AS5" s="1490" t="s">
        <v>178</v>
      </c>
      <c r="AT5" s="1496" t="s">
        <v>176</v>
      </c>
      <c r="AU5" s="1490" t="s">
        <v>676</v>
      </c>
      <c r="AV5" s="1499" t="s">
        <v>677</v>
      </c>
      <c r="AW5" s="1502" t="s">
        <v>534</v>
      </c>
      <c r="AX5" s="1490" t="s">
        <v>535</v>
      </c>
      <c r="AY5" s="1490" t="s">
        <v>606</v>
      </c>
      <c r="AZ5" s="1505" t="s">
        <v>607</v>
      </c>
      <c r="BA5" s="1490" t="s">
        <v>563</v>
      </c>
      <c r="BB5" s="1499" t="s">
        <v>564</v>
      </c>
      <c r="BC5" s="1502" t="s">
        <v>179</v>
      </c>
      <c r="BD5" s="1490" t="s">
        <v>565</v>
      </c>
      <c r="BE5" s="1490" t="s">
        <v>243</v>
      </c>
      <c r="BF5" s="1490" t="s">
        <v>244</v>
      </c>
      <c r="BG5" s="1490" t="s">
        <v>245</v>
      </c>
      <c r="BH5" s="1490" t="s">
        <v>566</v>
      </c>
      <c r="BI5" s="1490" t="s">
        <v>246</v>
      </c>
      <c r="BJ5" s="1490" t="s">
        <v>567</v>
      </c>
      <c r="BK5" s="1490" t="s">
        <v>581</v>
      </c>
      <c r="BL5" s="1490" t="s">
        <v>568</v>
      </c>
      <c r="BM5" s="1490" t="s">
        <v>569</v>
      </c>
      <c r="BN5" s="1490" t="s">
        <v>594</v>
      </c>
      <c r="BO5" s="1490" t="s">
        <v>587</v>
      </c>
      <c r="BP5" s="1490" t="s">
        <v>830</v>
      </c>
      <c r="BQ5" s="1490" t="s">
        <v>833</v>
      </c>
      <c r="BR5" s="1490" t="s">
        <v>835</v>
      </c>
      <c r="BS5" s="1490" t="s">
        <v>588</v>
      </c>
      <c r="BT5" s="1490" t="s">
        <v>570</v>
      </c>
      <c r="BU5" s="1490" t="s">
        <v>533</v>
      </c>
      <c r="BV5" s="1514" t="s">
        <v>767</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6</v>
      </c>
      <c r="B9" s="501" t="s">
        <v>242</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63</v>
      </c>
      <c r="O9" s="334"/>
      <c r="P9" s="334"/>
      <c r="Q9" s="226">
        <f>IF(ISNUMBER(Datos!P9),Datos!P9,0)</f>
        <v>740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558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38</v>
      </c>
      <c r="AI9" s="334" t="str">
        <f>IF(ISNUMBER(Datos!CD9),Datos!CD9,"-")</f>
        <v>-</v>
      </c>
      <c r="AJ9" s="334" t="str">
        <f>IF(ISNUMBER(Datos!EN9),Datos!EN9," - ")</f>
        <v xml:space="preserve"> - </v>
      </c>
      <c r="AK9" s="334"/>
      <c r="AL9" s="479"/>
      <c r="AM9" s="335">
        <f>IF(ISNUMBER(Datos!R9),Datos!R9," - ")</f>
        <v>7830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741</v>
      </c>
      <c r="BD9" s="229">
        <f>IF(ISNUMBER(Datos!N9),Datos!N9," - ")</f>
        <v>942</v>
      </c>
      <c r="BE9" s="229" t="str">
        <f>IF(ISNUMBER(Datos!BW9),Datos!BW9," - ")</f>
        <v xml:space="preserve"> - </v>
      </c>
      <c r="BF9" s="228" t="str">
        <f>IF(ISNUMBER(Datos!BX9),Datos!BX9," - ")</f>
        <v xml:space="preserve"> - </v>
      </c>
      <c r="BG9" s="243">
        <f>IF(ISNUMBER(IF(J_V="SI",Datos!K9/Datos!J9,(Datos!K9+Datos!AA9)/(Datos!J9+Datos!Z9))),IF(J_V="SI",Datos!K9/Datos!J9,(Datos!K9+Datos!AA9)/(Datos!J9+Datos!Z9))," - ")</f>
        <v>0.94155405405405401</v>
      </c>
      <c r="BH9" s="260">
        <f>IF(ISNUMBER(((IF(J_V="SI",Datos!L9/Datos!K9,(Datos!L9+Datos!AB9)/(Datos!K9+Datos!AA9)))*11)/factor_trimestre),((IF(J_V="SI",Datos!L9/Datos!K9,(Datos!L9+Datos!AB9)/(Datos!K9+Datos!AA9)))*11)/factor_trimestre," - ")</f>
        <v>5.8482238966630788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2.3797071129707113E-2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242</v>
      </c>
      <c r="C10" s="7" t="str">
        <f>Datos!A10</f>
        <v>Jdos. Violencia contra la mujer</v>
      </c>
      <c r="D10" s="508"/>
      <c r="E10" s="260">
        <f>IF(ISNUMBER(Datos!AQ10),Datos!AQ10," - ")</f>
        <v>1</v>
      </c>
      <c r="F10" s="225">
        <f>IF(ISNUMBER(Datos!L10+Datos!K10-Datos!J10),Datos!L10+Datos!K10-Datos!J10," - ")</f>
        <v>213</v>
      </c>
      <c r="G10" s="333">
        <f>IF(ISNUMBER(Datos!I10),Datos!I10," - ")</f>
        <v>213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58</v>
      </c>
      <c r="AC10" s="226">
        <f>IF(ISNUMBER(Datos!Q10),Datos!Q10," - ")</f>
        <v>12</v>
      </c>
      <c r="AD10" s="334"/>
      <c r="AE10" s="484"/>
      <c r="AF10" s="332">
        <f>IF(ISNUMBER(Datos!L10),Datos!L10,"-")</f>
        <v>213</v>
      </c>
      <c r="AG10" s="334"/>
      <c r="AH10" s="334"/>
      <c r="AI10" s="334"/>
      <c r="AJ10" s="334"/>
      <c r="AK10" s="334"/>
      <c r="AL10" s="479"/>
      <c r="AM10" s="335">
        <f>IF(ISNUMBER(Datos!R10),Datos!R10," - ")</f>
        <v>180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24</v>
      </c>
      <c r="BD10" s="229">
        <f>IF(ISNUMBER(Datos!N10),Datos!N10," - ")</f>
        <v>28</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11.017241379310347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5.5865921787709499E-3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98</v>
      </c>
      <c r="O11" s="334"/>
      <c r="P11" s="334"/>
      <c r="Q11" s="226">
        <f>IF(ISNUMBER(Datos!P11),Datos!P11,0)</f>
        <v>35</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25</v>
      </c>
      <c r="AD11" s="334"/>
      <c r="AE11" s="484"/>
      <c r="AF11" s="332" t="str">
        <f>IF(ISNUMBER(IF(J_V="SI",Datos!L11,Datos!L11+Datos!AB11)-IF(Monitorios="SI",Datos!CD11,0)),
                          IF(J_V="SI",Datos!L11,Datos!L11+Datos!AB11)-IF(Monitorios="SI",Datos!CD11,0),
                          " - ")</f>
        <v xml:space="preserve"> - </v>
      </c>
      <c r="AG11" s="334"/>
      <c r="AH11" s="334">
        <f>IF(ISNUMBER(Datos!AB11),Datos!AB11,"-")</f>
        <v>24</v>
      </c>
      <c r="AI11" s="334"/>
      <c r="AJ11" s="334"/>
      <c r="AK11" s="334"/>
      <c r="AL11" s="479"/>
      <c r="AM11" s="335">
        <f>IF(ISNUMBER(Datos!R11),Datos!R11," - ")</f>
        <v>630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159</v>
      </c>
      <c r="BD11" s="229">
        <f>IF(ISNUMBER(Datos!N11),Datos!N11," - ")</f>
        <v>260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1.1909547738693467</v>
      </c>
      <c r="BH11" s="260">
        <f>IF(ISNUMBER(((IF(J_V="SI",Datos!L11/Datos!K11,(Datos!L11+Datos!AB11)/(Datos!K11+Datos!AA11)))*11)/factor_trimestre),((IF(J_V="SI",Datos!L11/Datos!K11,(Datos!L11+Datos!AB11)/(Datos!K11+Datos!AA11)))*11)/factor_trimestre," - ")</f>
        <v>5.7025316455696204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1.6129032258064516E-2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49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-3.9215686274509803E-2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8</v>
      </c>
      <c r="F13" s="898">
        <f t="shared" si="0"/>
        <v>213</v>
      </c>
      <c r="G13" s="898">
        <f t="shared" si="0"/>
        <v>213</v>
      </c>
      <c r="H13" s="899">
        <f t="shared" si="0"/>
        <v>0</v>
      </c>
      <c r="I13" s="898">
        <f t="shared" si="0"/>
        <v>0</v>
      </c>
      <c r="J13" s="867">
        <f t="shared" si="0"/>
        <v>0</v>
      </c>
      <c r="K13" s="867">
        <f t="shared" si="0"/>
        <v>0</v>
      </c>
      <c r="L13" s="899">
        <f t="shared" si="0"/>
        <v>0</v>
      </c>
      <c r="M13" s="899">
        <f t="shared" si="0"/>
        <v>0</v>
      </c>
      <c r="N13" s="899">
        <f t="shared" si="0"/>
        <v>161</v>
      </c>
      <c r="O13" s="900">
        <f t="shared" si="0"/>
        <v>0</v>
      </c>
      <c r="P13" s="900">
        <f t="shared" si="0"/>
        <v>0</v>
      </c>
      <c r="Q13" s="899">
        <f t="shared" si="0"/>
        <v>788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58</v>
      </c>
      <c r="AC13" s="899">
        <f t="shared" si="1"/>
        <v>597</v>
      </c>
      <c r="AD13" s="899">
        <f t="shared" si="1"/>
        <v>0</v>
      </c>
      <c r="AE13" s="899">
        <f t="shared" si="1"/>
        <v>0</v>
      </c>
      <c r="AF13" s="899">
        <f t="shared" si="1"/>
        <v>213</v>
      </c>
      <c r="AG13" s="899">
        <f t="shared" si="1"/>
        <v>0</v>
      </c>
      <c r="AH13" s="899">
        <f t="shared" si="1"/>
        <v>62</v>
      </c>
      <c r="AI13" s="899">
        <f t="shared" si="1"/>
        <v>0</v>
      </c>
      <c r="AJ13" s="899">
        <f t="shared" si="1"/>
        <v>0</v>
      </c>
      <c r="AK13" s="899">
        <f t="shared" si="1"/>
        <v>0</v>
      </c>
      <c r="AL13" s="899">
        <f t="shared" si="1"/>
        <v>0</v>
      </c>
      <c r="AM13" s="899">
        <f t="shared" si="1"/>
        <v>8689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924</v>
      </c>
      <c r="BD13" s="899">
        <f t="shared" si="1"/>
        <v>1230</v>
      </c>
      <c r="BE13" s="899">
        <f t="shared" si="1"/>
        <v>0</v>
      </c>
      <c r="BF13" s="899">
        <f t="shared" si="1"/>
        <v>0</v>
      </c>
      <c r="BG13" s="899">
        <f>IF(ISNUMBER(Datos!K13/Datos!J13),Datos!K13/Datos!J13," - ")</f>
        <v>0.96221198156682031</v>
      </c>
      <c r="BH13" s="903">
        <f>IF(ISNUMBER(((Datos!L13/Datos!K13)*11)/factor_trimestre),((Datos!L13/Datos!K13)*11)/factor_trimestre," - ")</f>
        <v>6.2126436781609193</v>
      </c>
      <c r="BI13" s="899">
        <f>IF(ISNUMBER('Resol  Asuntos'!D13/NºAsuntos!G13),'Resol  Asuntos'!D13/NºAsuntos!G13," - ")</f>
        <v>0.27839710756251884</v>
      </c>
      <c r="BJ13" s="899" t="str">
        <f>IF(ISNUMBER(Datos!CI13/Datos!CJ13),Datos!CI13/Datos!CJ13," - ")</f>
        <v xml:space="preserve"> - </v>
      </c>
      <c r="BK13" s="899">
        <f>SUBTOTAL(9,BK8:BK12)</f>
        <v>0</v>
      </c>
      <c r="BL13" s="899">
        <f>IF(ISNUMBER((I13-AB13+L13)/(F13)),(I13-AB13+L13)/(F13)," - ")</f>
        <v>-0.27230046948356806</v>
      </c>
      <c r="BM13" s="904">
        <f>SUBTOTAL(9,BM9:BM12)</f>
        <v>6.2970092920327791E-3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3</v>
      </c>
      <c r="B15" s="594" t="s">
        <v>392</v>
      </c>
      <c r="C15" s="600" t="str">
        <f>Datos!A15</f>
        <v xml:space="preserve">Jdos. Instrucción                               </v>
      </c>
      <c r="D15" s="601"/>
      <c r="E15" s="1165">
        <f>IF(ISNUMBER(Datos!AQ15),Datos!AQ15," - ")</f>
        <v>3</v>
      </c>
      <c r="F15" s="595">
        <f>IF(ISNUMBER(AF15+AB15-Datos!J15-L15),AF15+AB15-Datos!J15-L15," - ")</f>
        <v>3407</v>
      </c>
      <c r="G15" s="598">
        <f>IF(ISNUMBER(IF(D_I="SI",Datos!I15,Datos!I15+Datos!AC15)),IF(D_I="SI",Datos!I15,Datos!I15+Datos!AC15)," - ")</f>
        <v>3399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72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1865</v>
      </c>
      <c r="AC15" s="226">
        <f>IF(ISNUMBER(Datos!Q15),Datos!Q15," - ")</f>
        <v>82</v>
      </c>
      <c r="AD15" s="334"/>
      <c r="AE15" s="484"/>
      <c r="AF15" s="596">
        <f>IF(ISNUMBER(IF(D_I="SI",Datos!L15,Datos!L15+Datos!AF15)),IF(D_I="SI",Datos!L15,Datos!L15+Datos!AF15)," - ")</f>
        <v>3187</v>
      </c>
      <c r="AG15" s="334"/>
      <c r="AH15" s="334"/>
      <c r="AI15" s="334"/>
      <c r="AJ15" s="334"/>
      <c r="AK15" s="334"/>
      <c r="AL15" s="479"/>
      <c r="AM15" s="335">
        <f>IF(ISNUMBER(Datos!R15),Datos!R15," - ")</f>
        <v>313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329</v>
      </c>
      <c r="BD15" s="229">
        <f>IF(ISNUMBER(Datos!N15),Datos!N15," - ")</f>
        <v>900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1.1337386018237081</v>
      </c>
      <c r="BH15" s="260">
        <f>IF(ISNUMBER(((IF(D_I="SI",Datos!L15/Datos!K15,(Datos!L15+Datos!AF15)/(Datos!K15+Datos!AE15)))*11)/factor_trimestre),((IF(D_I="SI",Datos!L15/Datos!K15,(Datos!L15+Datos!AF15)/(Datos!K15+Datos!AE15)))*11)/factor_trimestre," - ")</f>
        <v>5.1265415549597853</v>
      </c>
      <c r="BI15" s="243">
        <f>IF(ISNUMBER('Resol  Asuntos'!D15/NºAsuntos!G15),'Resol  Asuntos'!D15/NºAsuntos!G15," - ")</f>
        <v>0.17640750670241287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329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189</v>
      </c>
      <c r="AC17" s="226">
        <f>IF(ISNUMBER(Datos!Q17),Datos!Q17," - ")</f>
        <v>0</v>
      </c>
      <c r="AD17" s="334"/>
      <c r="AE17" s="484"/>
      <c r="AF17" s="332">
        <f>IF(ISNUMBER(Datos!L17),Datos!L17,"-")</f>
        <v>360</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34</v>
      </c>
      <c r="BD17" s="229">
        <f>IF(ISNUMBER(Datos!N17),Datos!N17," - ")</f>
        <v>78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0.85909090909090913</v>
      </c>
      <c r="BH17" s="260">
        <f>IF(ISNUMBER(((IF(D_I="SI",Datos!L17/Datos!K17,(Datos!L17+Datos!AF17)/(Datos!K17+Datos!AE17)))*11)/factor_trimestre),((IF(D_I="SI",Datos!L17/Datos!K17,(Datos!L17+Datos!AF17)/(Datos!K17+Datos!AE17)))*11)/factor_trimestre," - ")</f>
        <v>5.7142857142857144</v>
      </c>
      <c r="BI17" s="243">
        <f>IF(ISNUMBER('Resol  Asuntos'!D17/NºAsuntos!G17),'Resol  Asuntos'!D17/NºAsuntos!G17," - ")</f>
        <v>0.17989417989417988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4</v>
      </c>
      <c r="F18" s="898">
        <f>SUBTOTAL(9,F15:F17)</f>
        <v>3407</v>
      </c>
      <c r="G18" s="898">
        <f>SUBTOTAL(9,G15:G17)</f>
        <v>3728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2054</v>
      </c>
      <c r="AC18" s="899">
        <f t="shared" si="4"/>
        <v>82</v>
      </c>
      <c r="AD18" s="899">
        <f t="shared" si="4"/>
        <v>0</v>
      </c>
      <c r="AE18" s="899">
        <f t="shared" si="4"/>
        <v>0</v>
      </c>
      <c r="AF18" s="899">
        <f t="shared" si="4"/>
        <v>3547</v>
      </c>
      <c r="AG18" s="899">
        <f t="shared" si="4"/>
        <v>0</v>
      </c>
      <c r="AH18" s="899">
        <f t="shared" si="4"/>
        <v>0</v>
      </c>
      <c r="AI18" s="899">
        <f t="shared" si="4"/>
        <v>0</v>
      </c>
      <c r="AJ18" s="899">
        <f t="shared" si="4"/>
        <v>0</v>
      </c>
      <c r="AK18" s="899">
        <f t="shared" si="4"/>
        <v>0</v>
      </c>
      <c r="AL18" s="899">
        <f t="shared" si="4"/>
        <v>0</v>
      </c>
      <c r="AM18" s="899">
        <f t="shared" si="4"/>
        <v>318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363</v>
      </c>
      <c r="BD18" s="899">
        <f t="shared" si="4"/>
        <v>978</v>
      </c>
      <c r="BE18" s="899">
        <f t="shared" si="4"/>
        <v>0</v>
      </c>
      <c r="BF18" s="899">
        <f t="shared" si="4"/>
        <v>0</v>
      </c>
      <c r="BG18" s="899">
        <f>IF(ISNUMBER(Datos!K18/Datos!J18),Datos!K18/Datos!J18," - ")</f>
        <v>1.1013404825737265</v>
      </c>
      <c r="BH18" s="903">
        <f>IF(ISNUMBER(((Datos!L18/Datos!K18)*11)/factor_trimestre),((Datos!L18/Datos!K18)*11)/factor_trimestre," - ")</f>
        <v>5.1806231742940607</v>
      </c>
      <c r="BI18" s="899">
        <f>SUBTOTAL(9,BI15:BI17)</f>
        <v>0.35630168659659278</v>
      </c>
      <c r="BJ18" s="899">
        <f>SUBTOTAL(9,BJ15:BJ17)</f>
        <v>0</v>
      </c>
      <c r="BK18" s="899">
        <f>SUBTOTAL(9,BK15:BK17)</f>
        <v>0</v>
      </c>
      <c r="BL18" s="899">
        <f>IF(ISNUMBER((I18-AB18+L18)/(F18)),(I18-AB18+L18)/(F18)," - ")</f>
        <v>-0.6028764308776049</v>
      </c>
      <c r="BM18" s="905">
        <f>IF(ISNUMBER((Datos!P18-Datos!Q18)/(Datos!R18-Datos!P18+Datos!Q18)),(Datos!P18-Datos!Q18)/(Datos!R18-Datos!P18+Datos!Q18)," - ")</f>
        <v>-3.048780487804878E-2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12</v>
      </c>
      <c r="F19" s="820">
        <f t="shared" si="6"/>
        <v>3620</v>
      </c>
      <c r="G19" s="820">
        <f t="shared" si="6"/>
        <v>3941</v>
      </c>
      <c r="H19" s="822">
        <f t="shared" si="6"/>
        <v>0</v>
      </c>
      <c r="I19" s="820">
        <f t="shared" si="6"/>
        <v>0</v>
      </c>
      <c r="J19" s="822">
        <f t="shared" si="6"/>
        <v>0</v>
      </c>
      <c r="K19" s="822">
        <f t="shared" si="6"/>
        <v>0</v>
      </c>
      <c r="L19" s="881">
        <f t="shared" si="6"/>
        <v>0</v>
      </c>
      <c r="M19" s="881">
        <f t="shared" si="6"/>
        <v>0</v>
      </c>
      <c r="N19" s="881">
        <f t="shared" si="6"/>
        <v>161</v>
      </c>
      <c r="O19" s="881">
        <f t="shared" si="6"/>
        <v>0</v>
      </c>
      <c r="P19" s="881">
        <f t="shared" si="6"/>
        <v>0</v>
      </c>
      <c r="Q19" s="822">
        <f t="shared" si="6"/>
        <v>860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2112</v>
      </c>
      <c r="AC19" s="821">
        <f t="shared" si="7"/>
        <v>679</v>
      </c>
      <c r="AD19" s="821">
        <f t="shared" si="7"/>
        <v>0</v>
      </c>
      <c r="AE19" s="821">
        <f t="shared" si="7"/>
        <v>0</v>
      </c>
      <c r="AF19" s="828">
        <f t="shared" si="7"/>
        <v>3760</v>
      </c>
      <c r="AG19" s="828">
        <f t="shared" si="7"/>
        <v>0</v>
      </c>
      <c r="AH19" s="828">
        <f t="shared" si="7"/>
        <v>62</v>
      </c>
      <c r="AI19" s="828">
        <f t="shared" si="7"/>
        <v>0</v>
      </c>
      <c r="AJ19" s="821">
        <f t="shared" si="7"/>
        <v>0</v>
      </c>
      <c r="AK19" s="828">
        <f t="shared" si="7"/>
        <v>0</v>
      </c>
      <c r="AL19" s="828">
        <f t="shared" si="7"/>
        <v>0</v>
      </c>
      <c r="AM19" s="828">
        <f t="shared" si="7"/>
        <v>9007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1287</v>
      </c>
      <c r="BD19" s="820">
        <f t="shared" si="7"/>
        <v>2208</v>
      </c>
      <c r="BE19" s="820">
        <f t="shared" si="7"/>
        <v>0</v>
      </c>
      <c r="BF19" s="830">
        <f t="shared" si="7"/>
        <v>0</v>
      </c>
      <c r="BG19" s="915">
        <f>IF(ISNUMBER(Datos!K19/Datos!J19),Datos!K19/Datos!J19," - ")</f>
        <v>1.012890625</v>
      </c>
      <c r="BH19" s="915">
        <f>IF(ISNUMBER(((Datos!L19/Datos!K19)*11)/factor_trimestre),((Datos!L19/Datos!K19)*11)/factor_trimestre," - ")</f>
        <v>5.8038951021982266</v>
      </c>
      <c r="BI19" s="813">
        <f>IF(ISNUMBER(Datos!J19/Datos!I19),Datos!J19/Datos!I19," - ")</f>
        <v>0.50572896088502572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-0.5834254143646409</v>
      </c>
      <c r="BM19" s="889">
        <f>IF(ISNUMBER((Datos!P19-Datos!Q19+R19)/(Datos!R19-Datos!P19+Datos!Q19-R19)),(Datos!P19-Datos!Q19+R19)/(Datos!R19-Datos!P19+Datos!Q19-R19)," - ")</f>
        <v>2.0507591207795151E-2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1576.4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261</v>
      </c>
      <c r="D21" s="482"/>
      <c r="E21" s="517">
        <f>IF(ISNUMBER(STDEV(E8:E18)),STDEV(E8:E18),"-")</f>
        <v>2.8284271247461903</v>
      </c>
      <c r="F21" s="551">
        <f>IF(ISNUMBER(STDEV(F8:F18)),STDEV(F8:F18),"-")</f>
        <v>1844.0567597916647</v>
      </c>
      <c r="G21" s="552">
        <f>IF(ISNUMBER(STDEV(G8:G18)),STDEV(G8:G18),"-")</f>
        <v>1818.3082246967922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1021.1702600448174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346.75959148337091</v>
      </c>
      <c r="BD21" s="551"/>
      <c r="BE21" s="551">
        <f>IF(ISNUMBER(STDEV(BE8:BE18)),STDEV(BE8:BE18),"-")</f>
        <v>0</v>
      </c>
      <c r="BF21" s="556">
        <f>IF(ISNUMBER(STDEV(BF8:BF18)),STDEV(BF8:BF18),"-")</f>
        <v>0</v>
      </c>
      <c r="BG21" s="775">
        <f>IF(ISNUMBER(STDEV(BG8:BG18)),STDEV(BG8:BG18),"-")</f>
        <v>0.11847767895311836</v>
      </c>
      <c r="BH21" s="776">
        <f>IF(ISNUMBER(STDEV(BH8:BH18)),STDEV(BH8:BH18),"-")</f>
        <v>2.0705763702852749</v>
      </c>
      <c r="BI21" s="249">
        <f>IF(ISNUMBER(STDEV(BI8:BI18)),STDEV(BI8:BI18),"-")</f>
        <v>8.6442423105412475E-2</v>
      </c>
      <c r="BJ21" s="230" t="str">
        <f>IF(ISNUMBER(BL21/BM21),BL21/BM21," - ")</f>
        <v xml:space="preserve"> - </v>
      </c>
      <c r="BK21" s="575"/>
      <c r="BL21" s="559">
        <f>IF(ISNUMBER(STDEV(BL8:BL18)),STDEV(BL8:BL18),"-")</f>
        <v>0.23375250399898589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7/4V/vZrn3CvP+1308GQr39fOQGdtSJLjrRSraO82KZaXjncX9mzQOfeDvNnb/tAFs0CAUTQ8T3FfdY7EjRpRw==" saltValue="ksk8r6W06ntq6t3pk/VBD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LA RIOJA</v>
      </c>
    </row>
    <row r="2" spans="1:73" ht="16.5" customHeight="1">
      <c r="C2" s="528" t="str">
        <f>Criterios!A10 &amp;"  "&amp;Criterios!B10 &amp; "  " &amp; IF(NOT(ISBLANK(Criterios!A11)),Criterios!A11 &amp;"  "&amp;Criterios!B11,"")</f>
        <v>Provincias  LA RIOJA  Resumenes por Partidos Judiciales  LOGROÑO</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347</v>
      </c>
      <c r="B5" s="272"/>
      <c r="C5" s="1528" t="str">
        <f>"Año:  " &amp;Criterios!B$5 &amp; "          Trimestre   " &amp;Criterios!D$5 &amp; " al " &amp;Criterios!D$6</f>
        <v>Año:  2024          Trimestre   1 al 1</v>
      </c>
      <c r="D5" s="1530" t="s">
        <v>372</v>
      </c>
      <c r="E5" s="1490" t="s">
        <v>555</v>
      </c>
      <c r="F5" s="1519" t="s">
        <v>402</v>
      </c>
      <c r="G5" s="1490" t="s">
        <v>128</v>
      </c>
      <c r="H5" s="1490" t="s">
        <v>585</v>
      </c>
      <c r="I5" s="1490" t="s">
        <v>556</v>
      </c>
      <c r="J5" s="1490" t="s">
        <v>678</v>
      </c>
      <c r="K5" s="1490" t="s">
        <v>557</v>
      </c>
      <c r="L5" s="1490" t="s">
        <v>583</v>
      </c>
      <c r="M5" s="1490" t="s">
        <v>679</v>
      </c>
      <c r="N5" s="1490" t="s">
        <v>582</v>
      </c>
      <c r="O5" s="1490" t="s">
        <v>609</v>
      </c>
      <c r="P5" s="1525" t="s">
        <v>671</v>
      </c>
      <c r="Q5" s="1525" t="s">
        <v>673</v>
      </c>
      <c r="R5" s="1490" t="s">
        <v>589</v>
      </c>
      <c r="S5" s="1490" t="s">
        <v>558</v>
      </c>
      <c r="T5" s="1490" t="s">
        <v>765</v>
      </c>
      <c r="U5" s="1490" t="s">
        <v>766</v>
      </c>
      <c r="V5" s="1493" t="s">
        <v>662</v>
      </c>
      <c r="W5" s="1508" t="s">
        <v>571</v>
      </c>
      <c r="X5" s="1511" t="s">
        <v>572</v>
      </c>
      <c r="Y5" s="1487" t="s">
        <v>590</v>
      </c>
      <c r="Z5" s="1487" t="s">
        <v>610</v>
      </c>
      <c r="AA5" s="1490" t="s">
        <v>562</v>
      </c>
      <c r="AB5" s="1490" t="s">
        <v>573</v>
      </c>
      <c r="AC5" s="1490" t="s">
        <v>574</v>
      </c>
      <c r="AD5" s="1490" t="s">
        <v>528</v>
      </c>
      <c r="AE5" s="1490" t="s">
        <v>680</v>
      </c>
      <c r="AF5" s="1490" t="s">
        <v>178</v>
      </c>
      <c r="AG5" s="1490" t="s">
        <v>575</v>
      </c>
      <c r="AH5" s="1490" t="s">
        <v>563</v>
      </c>
      <c r="AI5" s="1490" t="s">
        <v>564</v>
      </c>
      <c r="AJ5" s="1490" t="s">
        <v>576</v>
      </c>
      <c r="AK5" s="1490" t="s">
        <v>577</v>
      </c>
      <c r="AL5" s="1490" t="s">
        <v>578</v>
      </c>
      <c r="AM5" s="1505" t="s">
        <v>579</v>
      </c>
      <c r="AN5" s="1490" t="s">
        <v>245</v>
      </c>
      <c r="AO5" s="1490" t="s">
        <v>566</v>
      </c>
      <c r="AP5" s="1490" t="s">
        <v>567</v>
      </c>
      <c r="AQ5" s="1490" t="s">
        <v>591</v>
      </c>
      <c r="AR5" s="1490" t="s">
        <v>592</v>
      </c>
      <c r="AS5" s="1490" t="s">
        <v>594</v>
      </c>
      <c r="AT5" s="1490" t="s">
        <v>587</v>
      </c>
      <c r="AU5" s="1490" t="s">
        <v>830</v>
      </c>
      <c r="AV5" s="1490" t="s">
        <v>329</v>
      </c>
      <c r="AW5" s="1490" t="s">
        <v>580</v>
      </c>
      <c r="AX5" s="1490" t="s">
        <v>533</v>
      </c>
      <c r="BU5" s="1490" t="s">
        <v>767</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593</v>
      </c>
      <c r="B9" s="501" t="s">
        <v>242</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740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558</v>
      </c>
      <c r="AA9" s="332" t="str">
        <f>IF(ISNUMBER(IF(J_V="SI",Datos!L9,Datos!L9+Datos!AB9)-IF(Monitorios="SI",Datos!CD9,0)),
                          IF(J_V="SI",Datos!L9,Datos!L9+Datos!AB9)-IF(Monitorios="SI",Datos!CD9,0),
                          " - ")</f>
        <v xml:space="preserve"> - </v>
      </c>
      <c r="AB9" s="334"/>
      <c r="AC9" s="334"/>
      <c r="AD9" s="484"/>
      <c r="AE9" s="484">
        <f>IF(ISNUMBER(Datos!R9),Datos!R9," - ")</f>
        <v>7830</v>
      </c>
      <c r="AF9" s="229" t="str">
        <f>IF(ISNUMBER(Datos!BV9),Datos!BV9," - ")</f>
        <v xml:space="preserve"> - </v>
      </c>
      <c r="AG9" s="225" t="str">
        <f>IF(ISNUMBER(Datos!DV9),Datos!DV9," - ")</f>
        <v xml:space="preserve"> - </v>
      </c>
      <c r="AH9" s="298"/>
      <c r="AI9" s="227"/>
      <c r="AJ9" s="225">
        <f>IF(ISNUMBER(Datos!M9),Datos!M9," - ")</f>
        <v>741</v>
      </c>
      <c r="AK9" s="229">
        <f>IF(ISNUMBER(Datos!N9),Datos!N9," - ")</f>
        <v>942</v>
      </c>
      <c r="AL9" s="229" t="str">
        <f>IF(ISNUMBER(Datos!BW9),Datos!BW9," - ")</f>
        <v xml:space="preserve"> - </v>
      </c>
      <c r="AM9" s="228" t="str">
        <f>IF(ISNUMBER(Datos!BX9),Datos!BX9," - ")</f>
        <v xml:space="preserve"> - </v>
      </c>
      <c r="AN9" s="243"/>
      <c r="AO9" s="260">
        <f>IF(ISNUMBER(((NºAsuntos!I9/NºAsuntos!G9)*11)/factor_trimestre),((NºAsuntos!I9/NºAsuntos!G9)*11)/factor_trimestre," - ")</f>
        <v>5.8482238966630788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2.3797071129707113E-2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242</v>
      </c>
      <c r="C10" s="7" t="str">
        <f>Datos!A10</f>
        <v>Jdos. Violencia contra la mujer</v>
      </c>
      <c r="D10" s="508"/>
      <c r="E10" s="1168">
        <f>IF(ISNUMBER(Datos!AQ10),Datos!AQ10," - ")</f>
        <v>1</v>
      </c>
      <c r="F10" s="225">
        <f>IF(ISNUMBER(Datos!L10+Datos!K10-Datos!J10),Datos!L10+Datos!K10-Datos!J10," - ")</f>
        <v>213</v>
      </c>
      <c r="G10" s="225">
        <f>IF(ISNUMBER(Datos!I10),Datos!I10," - ")</f>
        <v>213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58</v>
      </c>
      <c r="Z10" s="619">
        <f>IF(ISNUMBER(Datos!Q10),Datos!Q10," - ")</f>
        <v>12</v>
      </c>
      <c r="AA10" s="332">
        <f>IF(ISNUMBER(Datos!L10),Datos!L10,"-")</f>
        <v>213</v>
      </c>
      <c r="AB10" s="334"/>
      <c r="AC10" s="334"/>
      <c r="AD10" s="484"/>
      <c r="AE10" s="484">
        <f>IF(ISNUMBER(Datos!R10),Datos!R10," - ")</f>
        <v>180</v>
      </c>
      <c r="AF10" s="229" t="str">
        <f>IF(ISNUMBER(Datos!BV10),Datos!BV10," - ")</f>
        <v xml:space="preserve"> - </v>
      </c>
      <c r="AG10" s="225" t="str">
        <f>IF(ISNUMBER(Datos!DV10),Datos!DV10," - ")</f>
        <v xml:space="preserve"> - </v>
      </c>
      <c r="AH10" s="298"/>
      <c r="AI10" s="227"/>
      <c r="AJ10" s="225">
        <f>IF(ISNUMBER(Datos!M10),Datos!M10," - ")</f>
        <v>24</v>
      </c>
      <c r="AK10" s="229">
        <f>IF(ISNUMBER(Datos!N10),Datos!N10," - ")</f>
        <v>28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11.017241379310347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5.5865921787709499E-3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35</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25</v>
      </c>
      <c r="AA11" s="332" t="str">
        <f>IF(ISNUMBER(IF(J_V="SI",Datos!L11,Datos!L11+Datos!AB11)-IF(Monitorios="SI",Datos!CD11,0)),
                          IF(J_V="SI",Datos!L11,Datos!L11+Datos!AB11)-IF(Monitorios="SI",Datos!CD11,0),
                          " - ")</f>
        <v xml:space="preserve"> - </v>
      </c>
      <c r="AB11" s="334"/>
      <c r="AC11" s="334"/>
      <c r="AD11" s="484"/>
      <c r="AE11" s="484">
        <f>IF(ISNUMBER(Datos!R11),Datos!R11," - ")</f>
        <v>630</v>
      </c>
      <c r="AF11" s="229" t="str">
        <f>IF(ISNUMBER(Datos!BV11),Datos!BV11," - ")</f>
        <v xml:space="preserve"> - </v>
      </c>
      <c r="AG11" s="225" t="str">
        <f>IF(ISNUMBER(Datos!DV11),Datos!DV11," - ")</f>
        <v xml:space="preserve"> - </v>
      </c>
      <c r="AH11" s="298"/>
      <c r="AI11" s="227"/>
      <c r="AJ11" s="225">
        <f>IF(ISNUMBER(Datos!M11),Datos!M11," - ")</f>
        <v>159</v>
      </c>
      <c r="AK11" s="229">
        <f>IF(ISNUMBER(Datos!N11),Datos!N11," - ")</f>
        <v>260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5.7025316455696204</v>
      </c>
      <c r="AP11" s="230" t="str">
        <f>IF(ISNUMBER(Datos!CI11/Datos!CJ11),Datos!CI11/Datos!CJ11," - ")</f>
        <v xml:space="preserve"> - </v>
      </c>
      <c r="AQ11" s="230" t="str">
        <f>IF(ISNUMBER((J11-Y11+K11)/(F11)),(J11-Y11+K11)/(F11)," - ")</f>
        <v xml:space="preserve"> - </v>
      </c>
      <c r="AR11" s="230">
        <f>IF(ISNUMBER((Datos!P11-Datos!Q11+Datos!DE11)/(Datos!R11-Datos!P11+Datos!Q11-Datos!DE11)),(Datos!P11-Datos!Q11+Datos!DE11)/(Datos!R11-Datos!P11+Datos!Q11-Datos!DE11)," - ")</f>
        <v>1.6129032258064516E-2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v>
      </c>
      <c r="AA12" s="332" t="str">
        <f>IF(ISNUMBER(IF(J_V="SI",Datos!L12,Datos!L12+Datos!AB12)-IF(Monitorios="SI",Datos!CD12,0)),
                          IF(J_V="SI",Datos!L12,Datos!L12+Datos!AB12)-IF(Monitorios="SI",Datos!CD12,0),
                          " - ")</f>
        <v xml:space="preserve"> - </v>
      </c>
      <c r="AB12" s="334"/>
      <c r="AC12" s="334"/>
      <c r="AD12" s="484"/>
      <c r="AE12" s="484">
        <f>IF(ISNUMBER(Datos!R12),Datos!R12," - ")</f>
        <v>49</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-3.9215686274509803E-2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8</v>
      </c>
      <c r="F13" s="898">
        <f>SUBTOTAL(9,F8:F12)</f>
        <v>213</v>
      </c>
      <c r="G13" s="898">
        <f>SUBTOTAL(9,G8:G12)</f>
        <v>213</v>
      </c>
      <c r="H13" s="908"/>
      <c r="I13" s="898">
        <f t="shared" ref="I13:N13" si="0">SUBTOTAL(9,I8:I12)</f>
        <v>0</v>
      </c>
      <c r="J13" s="867">
        <f t="shared" si="0"/>
        <v>0</v>
      </c>
      <c r="K13" s="908">
        <f t="shared" si="0"/>
        <v>0</v>
      </c>
      <c r="L13" s="908">
        <f t="shared" si="0"/>
        <v>0</v>
      </c>
      <c r="M13" s="908">
        <f t="shared" si="0"/>
        <v>0</v>
      </c>
      <c r="N13" s="908">
        <f t="shared" si="0"/>
        <v>788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58</v>
      </c>
      <c r="Z13" s="907">
        <f t="shared" si="2"/>
        <v>597</v>
      </c>
      <c r="AA13" s="900">
        <f t="shared" si="2"/>
        <v>213</v>
      </c>
      <c r="AB13" s="900">
        <f t="shared" si="2"/>
        <v>0</v>
      </c>
      <c r="AC13" s="900">
        <f t="shared" si="2"/>
        <v>0</v>
      </c>
      <c r="AD13" s="900">
        <f t="shared" si="2"/>
        <v>0</v>
      </c>
      <c r="AE13" s="900">
        <f t="shared" si="2"/>
        <v>8689</v>
      </c>
      <c r="AF13" s="908">
        <f t="shared" si="2"/>
        <v>0</v>
      </c>
      <c r="AG13" s="908">
        <f t="shared" si="2"/>
        <v>0</v>
      </c>
      <c r="AH13" s="908">
        <f t="shared" si="2"/>
        <v>0</v>
      </c>
      <c r="AI13" s="908">
        <f t="shared" si="2"/>
        <v>0</v>
      </c>
      <c r="AJ13" s="908">
        <f t="shared" si="2"/>
        <v>924</v>
      </c>
      <c r="AK13" s="908">
        <f t="shared" si="2"/>
        <v>1230</v>
      </c>
      <c r="AL13" s="908">
        <f t="shared" si="2"/>
        <v>0</v>
      </c>
      <c r="AM13" s="908">
        <f t="shared" si="2"/>
        <v>0</v>
      </c>
      <c r="AN13" s="908">
        <f t="shared" si="2"/>
        <v>0</v>
      </c>
      <c r="AO13" s="904">
        <f>IF(ISNUMBER(((NºAsuntos!I13/NºAsuntos!G13)*11)/factor_trimestre),((NºAsuntos!I13/NºAsuntos!G13)*11)/factor_trimestre," - ")</f>
        <v>5.9186501958421216</v>
      </c>
      <c r="AP13" s="910" t="str">
        <f>IF(ISNUMBER(Datos!CI13/Datos!CJ13),Datos!CI13/Datos!CJ13," - ")</f>
        <v xml:space="preserve"> - </v>
      </c>
      <c r="AQ13" s="928">
        <f t="shared" ref="AQ13:AV13" si="3">SUBTOTAL(9,AQ9:AQ12)</f>
        <v>0</v>
      </c>
      <c r="AR13" s="928">
        <f t="shared" si="3"/>
        <v>6.2970092920327791E-3</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3</v>
      </c>
      <c r="B15" s="507" t="s">
        <v>392</v>
      </c>
      <c r="C15" s="160" t="str">
        <f>Datos!A15</f>
        <v xml:space="preserve">Jdos. Instrucción                               </v>
      </c>
      <c r="D15" s="502"/>
      <c r="E15" s="1168">
        <f>IF(ISNUMBER(Datos!AQ15),Datos!AQ15," - ")</f>
        <v>3</v>
      </c>
      <c r="F15" s="333">
        <f>IF(ISNUMBER(AA15+Y15-Datos!J15-K15),AA15+Y15-Datos!J15-K15," - ")</f>
        <v>3407</v>
      </c>
      <c r="G15" s="225">
        <f>IF(ISNUMBER(IF(D_I="SI",Datos!I15,Datos!I15+Datos!AC15)),IF(D_I="SI",Datos!I15,Datos!I15+Datos!AC15)," - ")</f>
        <v>3399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72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1865</v>
      </c>
      <c r="Z15" s="619">
        <f>IF(ISNUMBER(Datos!Q15),Datos!Q15," - ")</f>
        <v>82</v>
      </c>
      <c r="AA15" s="332">
        <f>IF(ISNUMBER(IF(D_I="SI",Datos!L15,Datos!L15+Datos!AF15)),IF(D_I="SI",Datos!L15,Datos!L15+Datos!AF15)," - ")</f>
        <v>3187</v>
      </c>
      <c r="AB15" s="334"/>
      <c r="AC15" s="334"/>
      <c r="AD15" s="484"/>
      <c r="AE15" s="484">
        <f>IF(ISNUMBER(Datos!R15),Datos!R15," - ")</f>
        <v>313</v>
      </c>
      <c r="AF15" s="229" t="str">
        <f>IF(ISNUMBER(Datos!BV15),Datos!BV15," - ")</f>
        <v xml:space="preserve"> - </v>
      </c>
      <c r="AG15" s="225"/>
      <c r="AH15" s="298"/>
      <c r="AI15" s="227"/>
      <c r="AJ15" s="225">
        <f>IF(ISNUMBER(Datos!M15),Datos!M15," - ")</f>
        <v>329</v>
      </c>
      <c r="AK15" s="229">
        <f>IF(ISNUMBER(Datos!N15),Datos!N15," - ")</f>
        <v>900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5.1265415549597853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329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189</v>
      </c>
      <c r="Z17" s="619">
        <f>IF(ISNUMBER(Datos!Q17),Datos!Q17," - ")</f>
        <v>0</v>
      </c>
      <c r="AA17" s="332">
        <f>IF(ISNUMBER(Datos!L17),Datos!L17,"-")</f>
        <v>360</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34</v>
      </c>
      <c r="AK17" s="229">
        <f>IF(ISNUMBER(Datos!N17),Datos!N17," - ")</f>
        <v>78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5.7142857142857144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4</v>
      </c>
      <c r="F18" s="898">
        <f>SUBTOTAL(9,F15:F17)</f>
        <v>3407</v>
      </c>
      <c r="G18" s="898">
        <f>SUBTOTAL(9,G15:G17)</f>
        <v>3728</v>
      </c>
      <c r="H18" s="932">
        <f>SUBTOTAL(9,H15:H17)</f>
        <v>0</v>
      </c>
      <c r="I18" s="911">
        <f>SUBTOTAL(9,I15:I17)</f>
        <v>0</v>
      </c>
      <c r="J18" s="867">
        <f>SUBTOTAL(9,J14:J17)</f>
        <v>0</v>
      </c>
      <c r="K18" s="932">
        <f t="shared" ref="K18:S18" si="4">SUBTOTAL(9,K15:K17)</f>
        <v>0</v>
      </c>
      <c r="L18" s="932">
        <f t="shared" si="4"/>
        <v>0</v>
      </c>
      <c r="M18" s="932">
        <f t="shared" si="4"/>
        <v>0</v>
      </c>
      <c r="N18" s="932">
        <f t="shared" si="4"/>
        <v>72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2054</v>
      </c>
      <c r="Z18" s="932">
        <f t="shared" si="5"/>
        <v>82</v>
      </c>
      <c r="AA18" s="932">
        <f t="shared" si="5"/>
        <v>3547</v>
      </c>
      <c r="AB18" s="932">
        <f t="shared" si="5"/>
        <v>0</v>
      </c>
      <c r="AC18" s="932">
        <f t="shared" si="5"/>
        <v>0</v>
      </c>
      <c r="AD18" s="932">
        <f t="shared" si="5"/>
        <v>0</v>
      </c>
      <c r="AE18" s="932">
        <f t="shared" si="5"/>
        <v>318</v>
      </c>
      <c r="AF18" s="932">
        <f t="shared" si="5"/>
        <v>0</v>
      </c>
      <c r="AG18" s="932">
        <f t="shared" si="5"/>
        <v>0</v>
      </c>
      <c r="AH18" s="932">
        <f t="shared" si="5"/>
        <v>0</v>
      </c>
      <c r="AI18" s="932">
        <f t="shared" si="5"/>
        <v>0</v>
      </c>
      <c r="AJ18" s="932">
        <f t="shared" si="5"/>
        <v>363</v>
      </c>
      <c r="AK18" s="932">
        <f t="shared" si="5"/>
        <v>978</v>
      </c>
      <c r="AL18" s="932">
        <f t="shared" si="5"/>
        <v>0</v>
      </c>
      <c r="AM18" s="932">
        <f t="shared" si="5"/>
        <v>0</v>
      </c>
      <c r="AN18" s="932">
        <f t="shared" si="5"/>
        <v>0</v>
      </c>
      <c r="AO18" s="934">
        <f>IF(ISNUMBER(((NºAsuntos!I18/NºAsuntos!G18)*11)/factor_trimestre),((NºAsuntos!I18/NºAsuntos!G18)*11)/factor_trimestre," - ")</f>
        <v>5.1806231742940607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12</v>
      </c>
      <c r="F19" s="820">
        <f t="shared" si="7"/>
        <v>3620</v>
      </c>
      <c r="G19" s="820">
        <f t="shared" si="7"/>
        <v>3941</v>
      </c>
      <c r="H19" s="821">
        <f t="shared" si="7"/>
        <v>0</v>
      </c>
      <c r="I19" s="820">
        <f t="shared" si="7"/>
        <v>0</v>
      </c>
      <c r="J19" s="822">
        <f t="shared" si="7"/>
        <v>0</v>
      </c>
      <c r="K19" s="820">
        <f t="shared" si="7"/>
        <v>0</v>
      </c>
      <c r="L19" s="823">
        <f t="shared" si="7"/>
        <v>0</v>
      </c>
      <c r="M19" s="820">
        <f t="shared" si="7"/>
        <v>0</v>
      </c>
      <c r="N19" s="821">
        <f t="shared" si="7"/>
        <v>860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2112</v>
      </c>
      <c r="Z19" s="827">
        <f t="shared" si="8"/>
        <v>679</v>
      </c>
      <c r="AA19" s="828">
        <f t="shared" si="8"/>
        <v>3760</v>
      </c>
      <c r="AB19" s="828">
        <f t="shared" si="8"/>
        <v>0</v>
      </c>
      <c r="AC19" s="828">
        <f t="shared" si="8"/>
        <v>0</v>
      </c>
      <c r="AD19" s="829">
        <f t="shared" si="8"/>
        <v>0</v>
      </c>
      <c r="AE19" s="829">
        <f t="shared" si="8"/>
        <v>9007</v>
      </c>
      <c r="AF19" s="830">
        <f t="shared" si="8"/>
        <v>0</v>
      </c>
      <c r="AG19" s="831">
        <f t="shared" si="8"/>
        <v>0</v>
      </c>
      <c r="AH19" s="832">
        <f t="shared" si="8"/>
        <v>0</v>
      </c>
      <c r="AI19" s="830">
        <f t="shared" si="8"/>
        <v>0</v>
      </c>
      <c r="AJ19" s="820">
        <f t="shared" si="8"/>
        <v>1287</v>
      </c>
      <c r="AK19" s="820">
        <f t="shared" si="8"/>
        <v>2208</v>
      </c>
      <c r="AL19" s="820">
        <f t="shared" si="8"/>
        <v>0</v>
      </c>
      <c r="AM19" s="833">
        <f t="shared" si="8"/>
        <v>0</v>
      </c>
      <c r="AN19" s="823">
        <f>IF(ISNUMBER(Datos!K19/Datos!J19),Datos!K19/Datos!J19," - ")</f>
        <v>1.012890625</v>
      </c>
      <c r="AO19" s="823">
        <f>IF(ISNUMBER(FIND("06",Criterios!A8,1)),(IF(ISNUMBER(((Datos!R19/Datos!Q19)*11)/factor_trimestre),((Datos!R19/Datos!Q19)*11)/factor_trimestre," - ")),(IF(ISNUMBER(((Datos!L19/Datos!K19)*11)/factor_trimestre),((Datos!L19/Datos!K19)*11)/factor_trimestre," - ")))</f>
        <v>5.8038951021982266</v>
      </c>
      <c r="AP19" s="834" t="str">
        <f>IF(ISNUMBER(Datos!CI19/Datos!CJ19),Datos!CI19/Datos!CJ19," - ")</f>
        <v xml:space="preserve"> - </v>
      </c>
      <c r="AQ19" s="834">
        <f>IF(OR(ISNUMBER(FIND("01",Criterios!A8,1)),ISNUMBER(FIND("02",Criterios!A8,1)),ISNUMBER(FIND("03",Criterios!A8,1)),ISNUMBER(FIND("04",Criterios!A8,1))),(J19-Y19+K19)/(F19-K19),(I19-Y19+K19)/(F19-K19))</f>
        <v>-0.5834254143646409</v>
      </c>
      <c r="AR19" s="834">
        <f>IF(ISNUMBER((Datos!P19-Datos!Q19+O19)/(Datos!R19-Datos!P19+Datos!Q19-O19)),(Datos!P19-Datos!Q19+O19)/(Datos!R19-Datos!P19+Datos!Q19-O19)," - ")</f>
        <v>2.0507591207795151E-2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1576.4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261</v>
      </c>
      <c r="D21" s="341"/>
      <c r="E21" s="580"/>
      <c r="F21" s="252">
        <f>IF(ISNUMBER(STDEV(F8:F18)),STDEV(F8:F18),"-")</f>
        <v>1844.0567597916647</v>
      </c>
      <c r="G21" s="552">
        <f>IF(ISNUMBER(STDEV(G8:G18)),STDEV(G8:G18),"-")</f>
        <v>1818.3082246967922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346.75959148337091</v>
      </c>
      <c r="AK21" s="252"/>
      <c r="AL21" s="252">
        <f>IF(ISNUMBER(STDEV(AL8:AL18)),STDEV(AL8:AL18),"-")</f>
        <v>0</v>
      </c>
      <c r="AM21" s="254">
        <f>IF(ISNUMBER(STDEV(AM8:AM18)),STDEV(AM8:AM18),"-")</f>
        <v>0</v>
      </c>
      <c r="AN21" s="539">
        <f>IF(ISNUMBER(STDEV(AN8:AN18)),STDEV(AN8:AN18),"-")</f>
        <v>0</v>
      </c>
      <c r="AO21" s="540">
        <f>IF(ISNUMBER(STDEV(AO8:AO18)),STDEV(AO8:AO18),"-")</f>
        <v>2.0779855014312072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EpFGC7o0fueOSQ1GfQCE6rQlSIjE7tYxwJf7qncLixSUILiwA9F67fRVpmjcyWcekJma/96iENCMXmrh1VlbAw==" saltValue="80R5iqs284HkltUEjZGDT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624</v>
      </c>
      <c r="B4" s="1538" t="s">
        <v>728</v>
      </c>
      <c r="C4" s="1538" t="s">
        <v>625</v>
      </c>
      <c r="D4" s="1538" t="s">
        <v>686</v>
      </c>
      <c r="E4" s="1540" t="s">
        <v>687</v>
      </c>
      <c r="F4" s="1538" t="s">
        <v>626</v>
      </c>
      <c r="G4" s="1540" t="s">
        <v>448</v>
      </c>
      <c r="H4" s="1533" t="s">
        <v>627</v>
      </c>
      <c r="I4" s="1533" t="s">
        <v>628</v>
      </c>
      <c r="J4" s="1533" t="s">
        <v>629</v>
      </c>
      <c r="K4" s="1535" t="s">
        <v>268</v>
      </c>
      <c r="L4" s="1536"/>
      <c r="M4" s="1536"/>
      <c r="N4" s="1537"/>
      <c r="O4" s="1535" t="s">
        <v>443</v>
      </c>
      <c r="P4" s="1536"/>
      <c r="Q4" s="1536"/>
      <c r="R4" s="1537"/>
    </row>
    <row r="5" spans="1:18" ht="27.75" customHeight="1" thickBot="1">
      <c r="A5" s="1539"/>
      <c r="B5" s="1539"/>
      <c r="C5" s="1539"/>
      <c r="D5" s="1539"/>
      <c r="E5" s="1539"/>
      <c r="F5" s="1539"/>
      <c r="G5" s="1539"/>
      <c r="H5" s="1534"/>
      <c r="I5" s="1534"/>
      <c r="J5" s="1534"/>
      <c r="K5" s="846" t="s">
        <v>444</v>
      </c>
      <c r="L5" s="846" t="s">
        <v>445</v>
      </c>
      <c r="M5" s="846" t="s">
        <v>446</v>
      </c>
      <c r="N5" s="846" t="s">
        <v>447</v>
      </c>
      <c r="O5" s="847" t="s">
        <v>444</v>
      </c>
      <c r="P5" s="846" t="s">
        <v>445</v>
      </c>
      <c r="Q5" s="846" t="s">
        <v>446</v>
      </c>
      <c r="R5" s="846" t="s">
        <v>447</v>
      </c>
    </row>
  </sheetData>
  <sheetProtection algorithmName="SHA-512" hashValue="WwU1IkJglgumWa8zqJgsEcRSGlgsmsGla0Jjr00TB9R1ipaj05AsxaS9B+yET7FiNmA8V711FClut+yTKknKGg==" saltValue="rTH6bR5tvZCrzNbGDkXvA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LA RIOJA</v>
      </c>
    </row>
    <row r="4" spans="1:155" ht="13.5" thickBot="1">
      <c r="A4" t="str">
        <f>Criterios!A10</f>
        <v>Provincias</v>
      </c>
      <c r="B4" t="str">
        <f>Criterios!B10</f>
        <v>LA RIOJA</v>
      </c>
      <c r="CE4" s="1392" t="s">
        <v>269</v>
      </c>
      <c r="CF4" s="1393"/>
      <c r="CG4" s="1393"/>
      <c r="CH4" s="1394"/>
    </row>
    <row r="5" spans="1:155" ht="12.75" customHeight="1" thickBot="1">
      <c r="A5" s="1422" t="str">
        <f>"Año:  " &amp;Criterios!B5 &amp; "                  Trimestre   " &amp;Criterios!D5 &amp; " al " &amp;Criterios!D6</f>
        <v>Año:  2024                  Trimestre   1 al 1</v>
      </c>
      <c r="B5" s="1424" t="s">
        <v>395</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150</v>
      </c>
      <c r="AT5" s="1410" t="s">
        <v>151</v>
      </c>
      <c r="AU5" s="1410" t="s">
        <v>234</v>
      </c>
      <c r="AV5" s="1410" t="s">
        <v>232</v>
      </c>
      <c r="AW5" s="1410" t="s">
        <v>235</v>
      </c>
      <c r="AX5" s="1410" t="s">
        <v>233</v>
      </c>
      <c r="AY5" s="1404" t="s">
        <v>108</v>
      </c>
      <c r="AZ5" s="1458"/>
      <c r="BA5" s="1458"/>
      <c r="BB5" s="1458"/>
      <c r="BC5" s="1459"/>
      <c r="BD5" s="1404" t="s">
        <v>109</v>
      </c>
      <c r="BE5" s="1405"/>
      <c r="BF5" s="1405"/>
      <c r="BG5" s="1406"/>
      <c r="BH5" s="1398" t="s">
        <v>143</v>
      </c>
      <c r="BI5" s="1398" t="s">
        <v>144</v>
      </c>
      <c r="BJ5" s="1455" t="s">
        <v>207</v>
      </c>
      <c r="BK5" s="1415" t="s">
        <v>210</v>
      </c>
      <c r="BL5" s="1415" t="s">
        <v>217</v>
      </c>
      <c r="BM5" s="1452" t="s">
        <v>313</v>
      </c>
      <c r="BN5" s="1245" t="s">
        <v>197</v>
      </c>
      <c r="BO5" s="1246"/>
      <c r="BP5" s="1245" t="s">
        <v>198</v>
      </c>
      <c r="BQ5" s="1246"/>
      <c r="BR5" s="1245" t="s">
        <v>199</v>
      </c>
      <c r="BS5" s="1246"/>
      <c r="BT5" s="1245" t="s">
        <v>200</v>
      </c>
      <c r="BU5" s="1246"/>
      <c r="BV5" s="1412" t="s">
        <v>268</v>
      </c>
      <c r="BW5" s="1418" t="s">
        <v>248</v>
      </c>
      <c r="BX5" s="1418" t="s">
        <v>249</v>
      </c>
      <c r="BY5" s="1401" t="s">
        <v>255</v>
      </c>
      <c r="BZ5" s="1401" t="s">
        <v>345</v>
      </c>
      <c r="CA5" s="1421" t="s">
        <v>284</v>
      </c>
      <c r="CB5" s="1421" t="s">
        <v>275</v>
      </c>
      <c r="CC5" s="1421" t="s">
        <v>276</v>
      </c>
      <c r="CD5" s="1421" t="s">
        <v>277</v>
      </c>
      <c r="CE5" s="1395" t="s">
        <v>288</v>
      </c>
      <c r="CF5" s="1395" t="s">
        <v>267</v>
      </c>
      <c r="CG5" s="1395" t="s">
        <v>265</v>
      </c>
      <c r="CH5" s="1395" t="s">
        <v>266</v>
      </c>
      <c r="CI5" s="1469" t="s">
        <v>290</v>
      </c>
      <c r="CJ5" s="1469" t="s">
        <v>291</v>
      </c>
      <c r="CK5" s="1382" t="s">
        <v>421</v>
      </c>
      <c r="CL5" s="1382" t="s">
        <v>422</v>
      </c>
      <c r="CM5" s="1382" t="s">
        <v>439</v>
      </c>
      <c r="CN5" s="1463" t="s">
        <v>366</v>
      </c>
      <c r="CO5" s="1463" t="s">
        <v>359</v>
      </c>
      <c r="CP5" s="1463" t="s">
        <v>365</v>
      </c>
      <c r="CQ5" s="1478" t="s">
        <v>364</v>
      </c>
      <c r="CR5" s="1478" t="s">
        <v>364</v>
      </c>
      <c r="CS5" s="1395" t="s">
        <v>384</v>
      </c>
      <c r="CT5" s="1395" t="s">
        <v>387</v>
      </c>
      <c r="CU5" s="1395" t="s">
        <v>225</v>
      </c>
      <c r="CV5" s="1395" t="s">
        <v>309</v>
      </c>
      <c r="CW5" s="1395" t="s">
        <v>329</v>
      </c>
      <c r="CX5" s="1395" t="s">
        <v>336</v>
      </c>
      <c r="CY5" s="1395" t="s">
        <v>432</v>
      </c>
      <c r="CZ5" s="1395" t="s">
        <v>433</v>
      </c>
      <c r="DA5" s="1395" t="s">
        <v>434</v>
      </c>
      <c r="DB5" s="1370" t="s">
        <v>191</v>
      </c>
      <c r="DC5" s="1370" t="s">
        <v>192</v>
      </c>
      <c r="DD5" s="1370" t="s">
        <v>193</v>
      </c>
      <c r="DE5" s="1386" t="s">
        <v>164</v>
      </c>
      <c r="DF5" s="1386" t="s">
        <v>403</v>
      </c>
      <c r="DG5" s="1395" t="s">
        <v>440</v>
      </c>
      <c r="DH5" s="1382" t="s">
        <v>421</v>
      </c>
      <c r="DI5" s="1382" t="s">
        <v>422</v>
      </c>
      <c r="DJ5" s="1382" t="s">
        <v>438</v>
      </c>
      <c r="DK5" s="1382" t="s">
        <v>472</v>
      </c>
      <c r="DL5" s="1382" t="s">
        <v>476</v>
      </c>
      <c r="DM5" s="1385" t="s">
        <v>525</v>
      </c>
      <c r="DN5" s="1385" t="s">
        <v>526</v>
      </c>
      <c r="DO5" s="1385" t="s">
        <v>527</v>
      </c>
      <c r="DP5" s="1385" t="s">
        <v>528</v>
      </c>
      <c r="DQ5" s="1385" t="s">
        <v>529</v>
      </c>
      <c r="DR5" s="1385" t="s">
        <v>530</v>
      </c>
      <c r="DS5" s="1385" t="s">
        <v>531</v>
      </c>
      <c r="DT5" s="1385" t="s">
        <v>532</v>
      </c>
      <c r="DU5" s="1364" t="s">
        <v>533</v>
      </c>
      <c r="DV5" s="1364" t="s">
        <v>534</v>
      </c>
      <c r="DW5" s="1361" t="s">
        <v>535</v>
      </c>
      <c r="DX5" s="1385" t="s">
        <v>536</v>
      </c>
      <c r="DY5" s="1358" t="s">
        <v>537</v>
      </c>
      <c r="DZ5" s="1361" t="s">
        <v>538</v>
      </c>
      <c r="EA5" s="1358" t="s">
        <v>539</v>
      </c>
      <c r="EB5" s="1389" t="s">
        <v>583</v>
      </c>
      <c r="EC5" s="1389" t="s">
        <v>584</v>
      </c>
      <c r="ED5" s="1389" t="s">
        <v>585</v>
      </c>
      <c r="EE5" s="1389" t="s">
        <v>618</v>
      </c>
      <c r="EF5" s="1389" t="s">
        <v>622</v>
      </c>
      <c r="EG5" s="1358" t="s">
        <v>620</v>
      </c>
      <c r="EH5" s="1358" t="s">
        <v>621</v>
      </c>
      <c r="EI5" s="1358" t="s">
        <v>587</v>
      </c>
      <c r="EJ5" s="1358" t="s">
        <v>588</v>
      </c>
      <c r="EK5" s="1373" t="s">
        <v>665</v>
      </c>
      <c r="EL5" s="1376" t="s">
        <v>681</v>
      </c>
      <c r="EM5" s="1377"/>
      <c r="EN5" s="1378"/>
      <c r="EO5" s="1370" t="s">
        <v>738</v>
      </c>
      <c r="EP5" s="1370" t="s">
        <v>740</v>
      </c>
      <c r="EQ5" s="1370" t="s">
        <v>741</v>
      </c>
      <c r="ER5" s="1370" t="s">
        <v>749</v>
      </c>
      <c r="ES5" s="1370" t="s">
        <v>751</v>
      </c>
      <c r="ET5" s="1367" t="s">
        <v>812</v>
      </c>
      <c r="EU5" s="1367" t="s">
        <v>813</v>
      </c>
      <c r="EV5" s="1475" t="s">
        <v>829</v>
      </c>
      <c r="EW5" s="1475" t="s">
        <v>834</v>
      </c>
      <c r="EX5" s="1472" t="s">
        <v>845</v>
      </c>
      <c r="EY5" s="1466" t="s">
        <v>850</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157</v>
      </c>
      <c r="BO6" s="1243" t="s">
        <v>158</v>
      </c>
      <c r="BP6" s="1243" t="s">
        <v>157</v>
      </c>
      <c r="BQ6" s="1243" t="s">
        <v>158</v>
      </c>
      <c r="BR6" s="1243" t="s">
        <v>157</v>
      </c>
      <c r="BS6" s="1243" t="s">
        <v>158</v>
      </c>
      <c r="BT6" s="1243" t="s">
        <v>157</v>
      </c>
      <c r="BU6" s="1243" t="s">
        <v>158</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737</v>
      </c>
      <c r="B7" s="1426"/>
      <c r="C7" s="1429"/>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682</v>
      </c>
      <c r="EM7" s="641" t="s">
        <v>95</v>
      </c>
      <c r="EN7" s="641" t="s">
        <v>96</v>
      </c>
      <c r="EO7" s="1372"/>
      <c r="EP7" s="1372"/>
      <c r="EQ7" s="1372"/>
      <c r="ER7" s="1372"/>
      <c r="ES7" s="1372"/>
      <c r="ET7" s="1369"/>
      <c r="EU7" s="1369"/>
      <c r="EV7" s="1477"/>
      <c r="EW7" s="1477"/>
      <c r="EX7" s="1474"/>
      <c r="EY7" s="1468"/>
    </row>
    <row r="8" spans="1:155"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row>
    <row r="9" spans="1:155"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jh0/Qk5A3eJyP4Omh2wl3f5TJ67/8ayT5BFgRfgF54q0sZiBx+Pscx2e62A6QNUlO4+ZPtbTTY5SpbZLrtqAXA==" saltValue="lqzQSzNB70PHLgg4I+hmP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LA RIOJA</v>
      </c>
    </row>
    <row r="2" spans="1:75" ht="16.5" customHeight="1">
      <c r="C2" s="488" t="str">
        <f>Criterios!A10 &amp;"  "&amp;Criterios!B10 &amp; "  " &amp; IF(NOT(ISBLANK(Criterios!A11)),Criterios!A11 &amp;"  "&amp;Criterios!B11,"")</f>
        <v>Provincias  LA RIOJA  Resumenes por Partidos Judiciales  LOGROÑO</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347</v>
      </c>
      <c r="B5" s="272"/>
      <c r="C5" s="1283" t="str">
        <f>"Año:  " &amp;Criterios!B$5 &amp; "          Trimestre   " &amp;Criterios!D$5 &amp; " al " &amp;Criterios!D$6</f>
        <v>Año:  2024          Trimestre   1 al 1</v>
      </c>
      <c r="D5" s="1490" t="s">
        <v>372</v>
      </c>
      <c r="E5" s="1490" t="s">
        <v>555</v>
      </c>
      <c r="F5" s="1519" t="s">
        <v>402</v>
      </c>
      <c r="G5" s="1490" t="s">
        <v>128</v>
      </c>
      <c r="H5" s="1490" t="s">
        <v>585</v>
      </c>
      <c r="I5" s="1490" t="s">
        <v>556</v>
      </c>
      <c r="J5" s="1490" t="s">
        <v>659</v>
      </c>
      <c r="K5" s="1490" t="s">
        <v>557</v>
      </c>
      <c r="L5" s="1490" t="s">
        <v>525</v>
      </c>
      <c r="M5" s="1522" t="s">
        <v>583</v>
      </c>
      <c r="N5" s="1490" t="s">
        <v>714</v>
      </c>
      <c r="O5" s="1490" t="s">
        <v>674</v>
      </c>
      <c r="P5" s="1490" t="s">
        <v>164</v>
      </c>
      <c r="Q5" s="1525" t="s">
        <v>671</v>
      </c>
      <c r="R5" s="1525" t="s">
        <v>715</v>
      </c>
      <c r="S5" s="1490" t="s">
        <v>586</v>
      </c>
      <c r="T5" s="1525" t="s">
        <v>558</v>
      </c>
      <c r="U5" s="1525" t="s">
        <v>765</v>
      </c>
      <c r="V5" s="1525" t="s">
        <v>766</v>
      </c>
      <c r="W5" s="1508" t="s">
        <v>608</v>
      </c>
      <c r="X5" s="1511" t="s">
        <v>559</v>
      </c>
      <c r="Y5" s="1508" t="s">
        <v>560</v>
      </c>
      <c r="Z5" s="1508" t="s">
        <v>561</v>
      </c>
      <c r="AA5" s="1490" t="s">
        <v>675</v>
      </c>
      <c r="AB5" s="1490" t="s">
        <v>680</v>
      </c>
      <c r="AC5" s="1490" t="s">
        <v>178</v>
      </c>
      <c r="AD5" s="1496" t="s">
        <v>176</v>
      </c>
      <c r="AE5" s="1490" t="s">
        <v>676</v>
      </c>
      <c r="AF5" s="1499" t="s">
        <v>677</v>
      </c>
      <c r="AG5" s="1502" t="s">
        <v>534</v>
      </c>
      <c r="AH5" s="1490" t="s">
        <v>535</v>
      </c>
      <c r="AI5" s="1490" t="s">
        <v>606</v>
      </c>
      <c r="AJ5" s="1505" t="s">
        <v>607</v>
      </c>
      <c r="AK5" s="1502" t="s">
        <v>179</v>
      </c>
      <c r="AL5" s="1490" t="s">
        <v>565</v>
      </c>
      <c r="AM5" s="1490" t="s">
        <v>243</v>
      </c>
      <c r="AN5" s="1490" t="s">
        <v>244</v>
      </c>
      <c r="AO5" s="1490" t="s">
        <v>245</v>
      </c>
      <c r="AP5" s="1490" t="s">
        <v>566</v>
      </c>
      <c r="AQ5" s="1490" t="s">
        <v>246</v>
      </c>
      <c r="AR5" s="1490" t="s">
        <v>567</v>
      </c>
      <c r="AS5" s="1490" t="s">
        <v>568</v>
      </c>
      <c r="AT5" s="1490" t="s">
        <v>569</v>
      </c>
      <c r="AU5" s="1490" t="s">
        <v>594</v>
      </c>
      <c r="AV5" s="1490" t="s">
        <v>587</v>
      </c>
      <c r="AW5" s="1490" t="s">
        <v>830</v>
      </c>
      <c r="AX5" s="1490" t="s">
        <v>833</v>
      </c>
      <c r="AY5" s="1490" t="s">
        <v>835</v>
      </c>
      <c r="AZ5" s="1490" t="s">
        <v>588</v>
      </c>
      <c r="BA5" s="1490" t="s">
        <v>850</v>
      </c>
      <c r="BB5" s="1490" t="s">
        <v>570</v>
      </c>
      <c r="BC5" s="1490" t="s">
        <v>533</v>
      </c>
      <c r="BW5" s="1490" t="s">
        <v>767</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0.27839710756251884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0.19685648262017774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C+et3YlmOzYMyMCocSSwhOCNSatB2+KHX8lgYAWgkDI1/LDL/UF6dBNjHUvYywC7ddTXaBKuu2vvr/Ukm5QpsQ==" saltValue="sLnjrV7UmBVCc6g5EUoOf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cQo0VIMhNwjYsgE7LQBnJD8vn2Q4LtPnGVjIJVz1P5QmHa+wNB8iX+X2Chiuh8ZRG8xkPmqNhhwWLTAVq21IqQ==" saltValue="M2wM+IqSvrLdMDC2bvsfK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LA RIOJA</v>
      </c>
      <c r="C2" s="375"/>
      <c r="D2" s="375"/>
      <c r="E2" s="375"/>
      <c r="F2" s="375"/>
    </row>
    <row r="3" spans="1:14" ht="19.5">
      <c r="A3" s="390" t="s">
        <v>115</v>
      </c>
      <c r="B3" s="391" t="str">
        <f>Criterios!A10 &amp;"  "&amp;Criterios!B10</f>
        <v>Provincias  LA RIOJA</v>
      </c>
      <c r="D3" s="375"/>
      <c r="E3" s="375"/>
      <c r="F3" s="375"/>
    </row>
    <row r="4" spans="1:14" ht="13.5" thickBot="1">
      <c r="A4" s="375"/>
      <c r="B4" s="391" t="str">
        <f>Criterios!A11 &amp;"  "&amp;Criterios!B11</f>
        <v>Resumenes por Partidos Judiciales  LOGROÑO</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743</v>
      </c>
      <c r="L5" s="1189" t="s">
        <v>789</v>
      </c>
      <c r="M5" s="1189" t="s">
        <v>846</v>
      </c>
      <c r="N5" s="1192" t="s">
        <v>742</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737</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6</v>
      </c>
      <c r="C9" s="403">
        <f>IF(ISNUMBER(IF(J_V="SI",Datos!I9,Datos!I9+Datos!Y9)),IF(J_V="SI",Datos!I9,Datos!I9+Datos!Y9)," - ")</f>
        <v>5293</v>
      </c>
      <c r="D9" s="404">
        <f>IF(ISNUMBER(C9/Datos!BH9),C9/Datos!BH9," - ")</f>
        <v>882.16666666666663</v>
      </c>
      <c r="E9" s="403">
        <f>IF(ISNUMBER(IF(J_V="SI",Datos!J9,Datos!J9+Datos!Z9)),IF(J_V="SI",Datos!J9,Datos!J9+Datos!Z9)," - ")</f>
        <v>2960</v>
      </c>
      <c r="F9" s="404">
        <f>IF(ISNUMBER(E9/B9),E9/B9," - ")</f>
        <v>493.33333333333331</v>
      </c>
      <c r="G9" s="403">
        <f>IF(ISNUMBER(IF(J_V="SI",Datos!K9,Datos!K9+Datos!AA9)),IF(J_V="SI",Datos!K9,Datos!K9+Datos!AA9)," - ")</f>
        <v>2787</v>
      </c>
      <c r="H9" s="404">
        <f>IF(ISNUMBER(G9/B9),G9/B9," - ")</f>
        <v>464.5</v>
      </c>
      <c r="I9" s="403">
        <f>IF(ISNUMBER(IF(J_V="SI",Datos!L9,Datos!L9+Datos!AB9)),IF(J_V="SI",Datos!L9,Datos!L9+Datos!AB9)," - ")</f>
        <v>5433</v>
      </c>
      <c r="J9" s="404">
        <f>IF(ISNUMBER(I9/B9),I9/B9," - ")</f>
        <v>905.5</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213</v>
      </c>
      <c r="D10" s="404">
        <f>IF(ISNUMBER(C10/Datos!BH10),C10/Datos!BH10," - ")</f>
        <v>213</v>
      </c>
      <c r="E10" s="403">
        <f>IF(ISNUMBER(Datos!J10),Datos!J10," - ")</f>
        <v>58</v>
      </c>
      <c r="F10" s="404">
        <f>IF(ISNUMBER(E10/B10),E10/B10," - ")</f>
        <v>58</v>
      </c>
      <c r="G10" s="403">
        <f>IF(ISNUMBER(Datos!K10),Datos!K10," - ")</f>
        <v>58</v>
      </c>
      <c r="H10" s="404">
        <f>IF(ISNUMBER(G10/B10),G10/B10," - ")</f>
        <v>58</v>
      </c>
      <c r="I10" s="403">
        <f>IF(ISNUMBER(Datos!L10),Datos!L10," - ")</f>
        <v>213</v>
      </c>
      <c r="J10" s="404">
        <f>IF(ISNUMBER(I10/B10),I10/B10," - ")</f>
        <v>213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1</v>
      </c>
      <c r="C11" s="403">
        <f>IF(ISNUMBER(IF(J_V="SI",Datos!I11,Datos!I11+Datos!Y11)),IF(J_V="SI",Datos!I11,Datos!I11+Datos!Y11)," - ")</f>
        <v>977</v>
      </c>
      <c r="D11" s="404">
        <f>IF(ISNUMBER(C11/Datos!BH11),C11/Datos!BH11," - ")</f>
        <v>977</v>
      </c>
      <c r="E11" s="403">
        <f>IF(ISNUMBER(IF(J_V="SI",Datos!J11,Datos!J11+Datos!Z11)),IF(J_V="SI",Datos!J11,Datos!J11+Datos!Z11)," - ")</f>
        <v>398</v>
      </c>
      <c r="F11" s="404">
        <f>IF(ISNUMBER(E11/B11),E11/B11," - ")</f>
        <v>398</v>
      </c>
      <c r="G11" s="403">
        <f>IF(ISNUMBER(IF(J_V="SI",Datos!K11,Datos!K11+Datos!AA11)),IF(J_V="SI",Datos!K11,Datos!K11+Datos!AA11)," - ")</f>
        <v>474</v>
      </c>
      <c r="H11" s="404">
        <f>IF(ISNUMBER(G11/B11),G11/B11," - ")</f>
        <v>474</v>
      </c>
      <c r="I11" s="403">
        <f>IF(ISNUMBER(IF(J_V="SI",Datos!L11,Datos!L11+Datos!AB11)),IF(J_V="SI",Datos!L11,Datos!L11+Datos!AB11)," - ")</f>
        <v>901</v>
      </c>
      <c r="J11" s="404">
        <f>IF(ISNUMBER(I11/B11),I11/B11," - ")</f>
        <v>901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0</v>
      </c>
      <c r="C12" s="403">
        <f>IF(ISNUMBER(IF(J_V="SI",Datos!I12,Datos!I12+Datos!Y12)),IF(J_V="SI",Datos!I12,Datos!I12+Datos!Y12)," - ")</f>
        <v>1</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8</v>
      </c>
      <c r="C13" s="849">
        <f>SUBTOTAL(9,C8:C12)</f>
        <v>6484</v>
      </c>
      <c r="D13" s="850" t="str">
        <f>IF(ISNUMBER(C13/Datos!BI13),C13/Datos!BI13," - ")</f>
        <v xml:space="preserve"> - </v>
      </c>
      <c r="E13" s="849">
        <f>SUBTOTAL(9,E8:E12)</f>
        <v>3416</v>
      </c>
      <c r="F13" s="850">
        <f>IF(ISNUMBER(E13/B13),E13/B13," - ")</f>
        <v>427</v>
      </c>
      <c r="G13" s="849">
        <f>SUBTOTAL(9,G8:G12)</f>
        <v>3319</v>
      </c>
      <c r="H13" s="850">
        <f>IF(ISNUMBER(G13/B13),G13/B13," - ")</f>
        <v>414.875</v>
      </c>
      <c r="I13" s="849">
        <f>SUBTOTAL(9,I8:I12)</f>
        <v>6548</v>
      </c>
      <c r="J13" s="850">
        <f>IF(ISNUMBER(I13/B13),I13/B13," - ")</f>
        <v>818.5</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3</v>
      </c>
      <c r="C15" s="403">
        <f>IF(ISNUMBER(IF(D_I="SI",Datos!I15,Datos!I15+Datos!AC15)),IF(D_I="SI",Datos!I15,Datos!I15+Datos!AC15)," - ")</f>
        <v>3399</v>
      </c>
      <c r="D15" s="404">
        <f>IF(ISNUMBER(C15/Datos!BH15),C15/Datos!BH15," - ")</f>
        <v>1133</v>
      </c>
      <c r="E15" s="403">
        <f>IF(ISNUMBER(IF(D_I="SI",Datos!J15,Datos!J15+Datos!AD15)),IF(D_I="SI",Datos!J15,Datos!J15+Datos!AD15)," - ")</f>
        <v>1645</v>
      </c>
      <c r="F15" s="404">
        <f>IF(ISNUMBER(E15/B15),E15/B15," - ")</f>
        <v>548.33333333333337</v>
      </c>
      <c r="G15" s="403">
        <f>IF(ISNUMBER(IF(D_I="SI",Datos!K15,Datos!K15+Datos!AE15)),IF(D_I="SI",Datos!K15,Datos!K15+Datos!AE15)," - ")</f>
        <v>1865</v>
      </c>
      <c r="H15" s="404">
        <f>IF(ISNUMBER(G15/B15),G15/B15," - ")</f>
        <v>621.66666666666663</v>
      </c>
      <c r="I15" s="403">
        <f>IF(ISNUMBER(IF(D_I="SI",Datos!L15,Datos!L15+Datos!AF15)),IF(D_I="SI",Datos!L15,Datos!L15+Datos!AF15)," - ")</f>
        <v>3187</v>
      </c>
      <c r="J15" s="404">
        <f>IF(ISNUMBER(I15/B15),I15/B15," - ")</f>
        <v>1062.3333333333333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329</v>
      </c>
      <c r="D17" s="404">
        <f>IF(ISNUMBER(C17/Datos!BH17),C17/Datos!BH17," - ")</f>
        <v>329</v>
      </c>
      <c r="E17" s="403">
        <f>IF(ISNUMBER(IF(D_I="SI",Datos!J17,Datos!J17+Datos!AD17)),IF(D_I="SI",Datos!J17,Datos!J17+Datos!AD17)," - ")</f>
        <v>220</v>
      </c>
      <c r="F17" s="404">
        <f>IF(ISNUMBER(E17/B17),E17/B17," - ")</f>
        <v>220</v>
      </c>
      <c r="G17" s="403">
        <f>IF(ISNUMBER(IF(D_I="SI",Datos!K17,Datos!K17+Datos!AE17)),IF(D_I="SI",Datos!K17,Datos!K17+Datos!AE17)," - ")</f>
        <v>189</v>
      </c>
      <c r="H17" s="404">
        <f>IF(ISNUMBER(G17/B17),G17/B17," - ")</f>
        <v>189</v>
      </c>
      <c r="I17" s="403">
        <f>IF(ISNUMBER(IF(D_I="SI",Datos!L17,Datos!L17+Datos!AF17)),IF(D_I="SI",Datos!L17,Datos!L17+Datos!AF17)," - ")</f>
        <v>360</v>
      </c>
      <c r="J17" s="404">
        <f>IF(ISNUMBER(I17/B17),I17/B17," - ")</f>
        <v>360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4</v>
      </c>
      <c r="C18" s="849">
        <f>SUBTOTAL(9,C14:C17)</f>
        <v>3728</v>
      </c>
      <c r="D18" s="850" t="str">
        <f>IF(ISNUMBER(C18/Datos!BI18),C18/Datos!BI18," - ")</f>
        <v xml:space="preserve"> - </v>
      </c>
      <c r="E18" s="849">
        <f>SUBTOTAL(9,E14:E17)</f>
        <v>1865</v>
      </c>
      <c r="F18" s="850">
        <f>IF(ISNUMBER(E18/B18),E18/B18," - ")</f>
        <v>466.25</v>
      </c>
      <c r="G18" s="849">
        <f>SUBTOTAL(9,G14:G17)</f>
        <v>2054</v>
      </c>
      <c r="H18" s="850">
        <f>IF(ISNUMBER(G18/B18),G18/B18," - ")</f>
        <v>513.5</v>
      </c>
      <c r="I18" s="849">
        <f>SUBTOTAL(9,I14:I17)</f>
        <v>3547</v>
      </c>
      <c r="J18" s="850">
        <f>IF(ISNUMBER(I18/B18),I18/B18," - ")</f>
        <v>886.75</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11</v>
      </c>
      <c r="C19" s="794">
        <f>SUBTOTAL(9,C9:C18)</f>
        <v>10212</v>
      </c>
      <c r="D19" s="795" t="str">
        <f>IF(ISNUMBER(C19/Datos!BI19),C19/Datos!BI19," - ")</f>
        <v xml:space="preserve"> - </v>
      </c>
      <c r="E19" s="794">
        <f>SUBTOTAL(9,E9:E18)</f>
        <v>5281</v>
      </c>
      <c r="F19" s="795">
        <f>IF(ISNUMBER(E19/B19),E19/B19," - ")</f>
        <v>480.09090909090907</v>
      </c>
      <c r="G19" s="794">
        <f>SUBTOTAL(9,G9:G18)</f>
        <v>5373</v>
      </c>
      <c r="H19" s="795">
        <f>IF(ISNUMBER(G19/B19),G19/B19," - ")</f>
        <v>488.45454545454544</v>
      </c>
      <c r="I19" s="794">
        <f>SUBTOTAL(9,I9:I18)</f>
        <v>10095</v>
      </c>
      <c r="J19" s="795">
        <f>IF(ISNUMBER(I19/B19),I19/B19," - ")</f>
        <v>917.72727272727275</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vgHVAahluEudyZr48cfnnngc/JldYgvB24fhAyCBr/sMaDL81SmSc+nfYY0lMuWYDYD7GLfCtYliI4VHea81/A==" saltValue="LtAPaZtwZk/hS8iNQkjBF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LA RIOJA</v>
      </c>
      <c r="W1"/>
      <c r="X1"/>
    </row>
    <row r="2" spans="1:65" ht="16.5" customHeight="1">
      <c r="C2" s="488" t="str">
        <f>Criterios!A10 &amp;"  "&amp;Criterios!B10 &amp; "  " &amp; IF(NOT(ISBLANK(Criterios!A11)),Criterios!A11 &amp;"  "&amp;Criterios!B11,"")</f>
        <v>Provincias  LA RIOJA  Resumenes por Partidos Judiciales  LOGROÑO</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347</v>
      </c>
      <c r="B5" s="272"/>
      <c r="C5" s="1283" t="str">
        <f>"Año:  " &amp;Criterios!B$5 &amp; "          Trimestre   " &amp;Criterios!D$5 &amp; " al " &amp;Criterios!D$6</f>
        <v>Año:  2024          Trimestre   1 al 1</v>
      </c>
      <c r="D5" s="1490" t="s">
        <v>420</v>
      </c>
      <c r="E5" s="1490" t="s">
        <v>555</v>
      </c>
      <c r="F5" s="1519" t="s">
        <v>402</v>
      </c>
      <c r="G5" s="1490" t="s">
        <v>128</v>
      </c>
      <c r="H5" s="1490" t="s">
        <v>688</v>
      </c>
      <c r="I5" s="1490" t="s">
        <v>689</v>
      </c>
      <c r="J5" s="1490" t="s">
        <v>692</v>
      </c>
      <c r="K5" s="1490" t="s">
        <v>693</v>
      </c>
      <c r="L5" s="1490" t="s">
        <v>583</v>
      </c>
      <c r="M5" s="1490" t="s">
        <v>714</v>
      </c>
      <c r="N5" s="1490" t="s">
        <v>694</v>
      </c>
      <c r="O5" s="1490" t="s">
        <v>690</v>
      </c>
      <c r="P5" s="1490" t="s">
        <v>164</v>
      </c>
      <c r="Q5" s="1490" t="s">
        <v>671</v>
      </c>
      <c r="R5" s="1490" t="s">
        <v>715</v>
      </c>
      <c r="S5" s="1490" t="str">
        <f>"Ingreso Computable 2003" &amp; IF(OR(EXACT(LEFT(boletin,2),"04"),EXACT(LEFT(boletin,2),"14"),EXACT(LEFT(boletin,2),"17"))," (Civil + Penal)","")</f>
        <v>Ingreso Computable 2003</v>
      </c>
      <c r="T5" s="1490" t="s">
        <v>691</v>
      </c>
      <c r="U5" s="1525" t="str">
        <f>"% Ingreso Computable 2003" &amp; IF(OR(EXACT(LEFT(boletin,2),"04"),EXACT(LEFT(boletin,2),"14"),EXACT(LEFT(boletin,2),"17"))," (Civil + Penal)","")</f>
        <v>% Ingreso Computable 2003</v>
      </c>
      <c r="V5" s="1525" t="s">
        <v>695</v>
      </c>
      <c r="W5" s="1490" t="s">
        <v>759</v>
      </c>
      <c r="X5" s="1490" t="s">
        <v>760</v>
      </c>
      <c r="Y5" s="1493"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0" t="s">
        <v>700</v>
      </c>
      <c r="AG5" s="1490" t="s">
        <v>701</v>
      </c>
      <c r="AH5" s="1490" t="s">
        <v>702</v>
      </c>
      <c r="AI5" s="1490" t="s">
        <v>703</v>
      </c>
      <c r="AJ5" s="1490" t="s">
        <v>178</v>
      </c>
      <c r="AK5" s="1502" t="s">
        <v>534</v>
      </c>
      <c r="AL5" s="1502" t="s">
        <v>179</v>
      </c>
      <c r="AM5" s="1490" t="s">
        <v>565</v>
      </c>
      <c r="AN5" s="1490" t="s">
        <v>243</v>
      </c>
      <c r="AO5" s="1490" t="s">
        <v>244</v>
      </c>
      <c r="AP5" s="1490" t="s">
        <v>704</v>
      </c>
      <c r="AQ5" s="1490" t="s">
        <v>705</v>
      </c>
      <c r="AR5" s="1490" t="s">
        <v>706</v>
      </c>
      <c r="AS5" s="1490" t="s">
        <v>707</v>
      </c>
      <c r="AT5" s="1490" t="s">
        <v>708</v>
      </c>
      <c r="AU5" s="1490" t="s">
        <v>709</v>
      </c>
      <c r="AV5" s="1490" t="s">
        <v>710</v>
      </c>
      <c r="AW5" s="1490" t="s">
        <v>711</v>
      </c>
      <c r="AX5" s="1490" t="s">
        <v>830</v>
      </c>
      <c r="AY5" s="1490" t="s">
        <v>833</v>
      </c>
      <c r="AZ5" s="1490" t="s">
        <v>712</v>
      </c>
      <c r="BA5" s="1490" t="s">
        <v>713</v>
      </c>
      <c r="BB5" s="1490" t="s">
        <v>533</v>
      </c>
      <c r="BC5" s="1352" t="s">
        <v>720</v>
      </c>
      <c r="BD5" s="1352" t="s">
        <v>721</v>
      </c>
      <c r="BE5" s="1519" t="s">
        <v>722</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6</v>
      </c>
      <c r="B9" s="501" t="s">
        <v>242</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242</v>
      </c>
      <c r="C10" s="7" t="str">
        <f>Datos!A10</f>
        <v>Jdos. Violencia contra la mujer</v>
      </c>
      <c r="D10" s="508"/>
      <c r="E10" s="682">
        <f>IF(ISNUMBER(Datos!AQ10),Datos!AQ10," - ")</f>
        <v>1</v>
      </c>
      <c r="F10" s="683">
        <f>IF(ISNUMBER(Datos!L10+Datos!K10-Datos!J10),Datos!L10+Datos!K10-Datos!J10," - ")</f>
        <v>213</v>
      </c>
      <c r="G10" s="684">
        <f>IF(ISNUMBER(Datos!I10),Datos!I10," - ")</f>
        <v>213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58</v>
      </c>
      <c r="AC10" s="683" t="str">
        <f>IF(ISNUMBER(IF(D_I="SI",DatosP!K17,DatosP!K17+DatosP!AE17)),IF(D_I="SI",DatosP!K17,DatosP!K17+DatosP!AE17)," - ")</f>
        <v xml:space="preserve"> - </v>
      </c>
      <c r="AD10" s="685"/>
      <c r="AE10" s="685"/>
      <c r="AF10" s="688">
        <f>IF(ISNUMBER(Datos!L10),Datos!L10,"-")</f>
        <v>213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24</v>
      </c>
      <c r="AM10" s="690">
        <f>IF(ISNUMBER(Datos!N10+DatosP!N17),Datos!N10+DatosP!N17," - ")</f>
        <v>28</v>
      </c>
      <c r="AN10" s="690">
        <f>IF(ISNUMBER(Datos!BW10+DatosP!BW17),Datos!BW10+DatosP!BW17," - ")</f>
        <v>0</v>
      </c>
      <c r="AO10" s="691">
        <f>IF(ISNUMBER(Datos!BX10+DatosP!BX17),Datos!BX10+DatosP!BX17," - ")</f>
        <v>0</v>
      </c>
      <c r="AP10" s="693">
        <f>IF(ISNUMBER(((Datos!L10/Datos!K10)*11)/factor_trimestre),((Datos!L10/Datos!K10)*11)/factor_trimestre," - ")</f>
        <v>11.017241379310347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-3.9215686274509803E-2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8</v>
      </c>
      <c r="F13" s="938">
        <f t="shared" si="0"/>
        <v>213</v>
      </c>
      <c r="G13" s="938">
        <f t="shared" si="0"/>
        <v>213</v>
      </c>
      <c r="H13" s="938">
        <f t="shared" si="0"/>
        <v>0</v>
      </c>
      <c r="I13" s="940">
        <f t="shared" si="0"/>
        <v>0</v>
      </c>
      <c r="J13" s="939">
        <f t="shared" si="0"/>
        <v>0</v>
      </c>
      <c r="K13" s="939">
        <f t="shared" si="0"/>
        <v>0</v>
      </c>
      <c r="L13" s="941">
        <f t="shared" si="0"/>
        <v>0</v>
      </c>
      <c r="M13" s="941">
        <f t="shared" si="0"/>
        <v>0</v>
      </c>
      <c r="N13" s="939">
        <f t="shared" si="0"/>
        <v>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58</v>
      </c>
      <c r="AC13" s="939">
        <f t="shared" si="1"/>
        <v>0</v>
      </c>
      <c r="AD13" s="939">
        <f t="shared" si="1"/>
        <v>2</v>
      </c>
      <c r="AE13" s="939">
        <f t="shared" si="1"/>
        <v>0</v>
      </c>
      <c r="AF13" s="939">
        <f t="shared" si="1"/>
        <v>213</v>
      </c>
      <c r="AG13" s="939">
        <f t="shared" si="1"/>
        <v>0</v>
      </c>
      <c r="AH13" s="939">
        <f t="shared" si="1"/>
        <v>49</v>
      </c>
      <c r="AI13" s="939">
        <f t="shared" si="1"/>
        <v>0</v>
      </c>
      <c r="AJ13" s="939">
        <f t="shared" si="1"/>
        <v>0</v>
      </c>
      <c r="AK13" s="939">
        <f t="shared" si="1"/>
        <v>0</v>
      </c>
      <c r="AL13" s="939">
        <f t="shared" si="1"/>
        <v>24</v>
      </c>
      <c r="AM13" s="939">
        <f t="shared" si="1"/>
        <v>28</v>
      </c>
      <c r="AN13" s="939">
        <f t="shared" si="1"/>
        <v>0</v>
      </c>
      <c r="AO13" s="939">
        <f t="shared" si="1"/>
        <v>0</v>
      </c>
      <c r="AP13" s="944">
        <f>IF(ISNUMBER(((Datos!L13/Datos!K13)*11)/factor_trimestre),((Datos!L13/Datos!K13)*11)/factor_trimestre," - ")</f>
        <v>6.2126436781609193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-0.27230046948356806</v>
      </c>
      <c r="AU13" s="939" t="str">
        <f>IF(ISNUMBER((DatosP!#REF!-DatosP!#REF!+DatosP!#REF!)/(DatosP!#REF!+DatosP!#REF!-DatosP!#REF!-DatosP!#REF!)),(DatosP!#REF!-DatosP!#REF!+DatosP!#REF!)/(DatosP!#REF!+DatosP!#REF!-DatosP!#REF!-DatosP!#REF!)," - ")</f>
        <v xml:space="preserve"> - </v>
      </c>
      <c r="AV13" s="945">
        <f>SUBTOTAL(9,AV9:AV12)</f>
        <v>-3.9215686274509803E-2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3</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5.1806231742940607</v>
      </c>
      <c r="AQ18" s="944">
        <f>IF(ISNUMBER(((Datos!M18/Datos!L18)*11)/factor_trimestre),((Datos!M18/Datos!L18)*11)/factor_trimestre," - ")</f>
        <v>0.30702001691570346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-3.048780487804878E-2</v>
      </c>
      <c r="AW18" s="946">
        <f>IF(ISNUMBER((Datos!Q18-Datos!R18)/(Datos!S18-Datos!Q18+Datos!R18)),(Datos!Q18-Datos!R18)/(Datos!S18-Datos!Q18+Datos!R18)," - ")</f>
        <v>-9.3317516805061285E-2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8</v>
      </c>
      <c r="F19" s="951">
        <f t="shared" si="4"/>
        <v>213</v>
      </c>
      <c r="G19" s="951">
        <f t="shared" si="4"/>
        <v>213</v>
      </c>
      <c r="H19" s="951">
        <f t="shared" si="4"/>
        <v>0</v>
      </c>
      <c r="I19" s="952">
        <f t="shared" si="4"/>
        <v>0</v>
      </c>
      <c r="J19" s="953">
        <f t="shared" si="4"/>
        <v>0</v>
      </c>
      <c r="K19" s="953">
        <f t="shared" si="4"/>
        <v>0</v>
      </c>
      <c r="L19" s="953">
        <f t="shared" si="4"/>
        <v>0</v>
      </c>
      <c r="M19" s="953">
        <f t="shared" si="4"/>
        <v>0</v>
      </c>
      <c r="N19" s="952">
        <f t="shared" si="4"/>
        <v>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58</v>
      </c>
      <c r="AC19" s="957">
        <f t="shared" si="5"/>
        <v>0</v>
      </c>
      <c r="AD19" s="957">
        <f t="shared" si="5"/>
        <v>2</v>
      </c>
      <c r="AE19" s="957">
        <f t="shared" si="5"/>
        <v>0</v>
      </c>
      <c r="AF19" s="958">
        <f t="shared" si="5"/>
        <v>213</v>
      </c>
      <c r="AG19" s="958">
        <f t="shared" si="5"/>
        <v>0</v>
      </c>
      <c r="AH19" s="958">
        <f t="shared" si="5"/>
        <v>49</v>
      </c>
      <c r="AI19" s="958">
        <f t="shared" si="5"/>
        <v>0</v>
      </c>
      <c r="AJ19" s="959">
        <f t="shared" si="5"/>
        <v>0</v>
      </c>
      <c r="AK19" s="959">
        <f t="shared" si="5"/>
        <v>0</v>
      </c>
      <c r="AL19" s="951">
        <f t="shared" si="5"/>
        <v>24</v>
      </c>
      <c r="AM19" s="951">
        <f t="shared" si="5"/>
        <v>28</v>
      </c>
      <c r="AN19" s="951">
        <f t="shared" si="5"/>
        <v>0</v>
      </c>
      <c r="AO19" s="951">
        <f t="shared" si="5"/>
        <v>0</v>
      </c>
      <c r="AP19" s="951">
        <f>IF(ISNUMBER(((Datos!L19/Datos!K19)*11)/factor_trimestre),((Datos!L19/Datos!K19)*11)/factor_trimestre," - ")</f>
        <v>5.8038951021982266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-0.27230046948356806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2.0507591207795151E-2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261</v>
      </c>
      <c r="D21" s="734"/>
      <c r="E21" s="735">
        <f>IF(ISNUMBER(STDEV(E8:E18)),STDEV(E8:E18),"-")</f>
        <v>3.4448028487370168</v>
      </c>
      <c r="F21" s="736">
        <f>IF(ISNUMBER(STDEV(F8:F18)),STDEV(F8:F18),"-")</f>
        <v>122.97560733739029</v>
      </c>
      <c r="G21" s="737">
        <f>IF(ISNUMBER(STDEV(G8:G18)),STDEV(G8:G18),"-")</f>
        <v>122.97560733739029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33.486315612998297</v>
      </c>
      <c r="AC21" s="738">
        <f>IF(ISNUMBER(STDEV(AC8:AC18)),STDEV(AC8:AC18),"-")</f>
        <v>0</v>
      </c>
      <c r="AD21" s="741"/>
      <c r="AE21" s="741"/>
      <c r="AF21" s="741"/>
      <c r="AG21" s="741"/>
      <c r="AH21" s="741"/>
      <c r="AI21" s="741"/>
      <c r="AJ21" s="742">
        <f>IF(ISNUMBER(STDEV(AJ8:AJ18)),STDEV(AJ8:AJ18),"-")</f>
        <v>0</v>
      </c>
      <c r="AK21" s="744"/>
      <c r="AL21" s="736">
        <f>IF(ISNUMBER(STDEV(AL8:AL18)),STDEV(AL8:AL18),"-")</f>
        <v>13.856406460551018</v>
      </c>
      <c r="AM21" s="736"/>
      <c r="AN21" s="736">
        <f>IF(ISNUMBER(STDEV(AN8:AN18)),STDEV(AN8:AN18),"-")</f>
        <v>0</v>
      </c>
      <c r="AO21" s="742">
        <f>IF(ISNUMBER(STDEV(AO8:AO18)),STDEV(AO8:AO18),"-")</f>
        <v>0</v>
      </c>
      <c r="AP21" s="779">
        <f>IF(ISNUMBER(STDEV(AP8:AP18)),STDEV(AP8:AP18),"-")</f>
        <v>3.114892653619048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KiOSwQVoLICA12kWDyqbphgepANyyHLbrS9U4hrJCO+vYewJ1OSV6EyUW9XgcNwmJueyYYbm+zp5FYVWpou88g==" saltValue="zLVUmiK0F6zmsploSr7FQ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LA RIOJA</v>
      </c>
      <c r="C2" s="375"/>
      <c r="E2" s="375"/>
      <c r="F2" s="375"/>
      <c r="G2" s="375"/>
      <c r="H2" s="375"/>
    </row>
    <row r="3" spans="1:15" ht="39">
      <c r="A3" s="415" t="s">
        <v>214</v>
      </c>
      <c r="B3" s="391" t="str">
        <f>Criterios!A10 &amp;"  "&amp;Criterios!B10</f>
        <v>Provincias  LA RIOJA</v>
      </c>
      <c r="C3" s="415"/>
      <c r="F3" s="375"/>
      <c r="G3" s="375"/>
      <c r="H3" s="375"/>
    </row>
    <row r="4" spans="1:15" ht="13.5" thickBot="1">
      <c r="A4" s="375"/>
      <c r="B4" s="391" t="str">
        <f>Criterios!A11 &amp;"  "&amp;Criterios!B11</f>
        <v>Resumenes por Partidos Judiciales  LOGROÑO</v>
      </c>
      <c r="C4" s="375"/>
      <c r="E4" s="375"/>
      <c r="F4" s="375"/>
      <c r="G4" s="375"/>
      <c r="H4" s="375"/>
    </row>
    <row r="5" spans="1:15" ht="15.75" customHeight="1">
      <c r="A5" s="1208" t="str">
        <f>"Año:  " &amp;Criterios!B5</f>
        <v>Año:  2024</v>
      </c>
      <c r="B5" s="1198" t="s">
        <v>201</v>
      </c>
      <c r="C5" s="1211"/>
      <c r="D5" s="1198" t="s">
        <v>218</v>
      </c>
      <c r="E5" s="1216"/>
      <c r="F5" s="1211"/>
      <c r="G5" s="1198" t="s">
        <v>203</v>
      </c>
      <c r="H5" s="1199"/>
      <c r="I5" s="1198" t="s">
        <v>204</v>
      </c>
      <c r="J5" s="1199"/>
      <c r="K5" s="1198" t="s">
        <v>205</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ZUnDZI/6qcoHFoVll0CuVIWXLA4bstawmP1182LKh1eOhmGpOh955d4RoziAbgA5nJ40Le2dRvN9o2nPr2qvsQ==" saltValue="VXzYCqeqoPF2WP9qRATkQ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LA RIOJA</v>
      </c>
      <c r="C2" s="391"/>
    </row>
    <row r="3" spans="1:9" ht="19.5">
      <c r="A3" s="425" t="s">
        <v>11</v>
      </c>
      <c r="B3" s="391" t="str">
        <f>Criterios!A10 &amp;"  "&amp;Criterios!B10</f>
        <v>Provincias  LA RIOJA</v>
      </c>
      <c r="C3" s="391"/>
      <c r="D3" s="425"/>
    </row>
    <row r="4" spans="1:9" ht="13.5" thickBot="1">
      <c r="B4" s="391" t="str">
        <f>Criterios!A11 &amp;"  "&amp;Criterios!B11</f>
        <v>Resumenes por Partidos Judiciales  LOGROÑO</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228</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229</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6</v>
      </c>
      <c r="C9" s="410">
        <f>Datos!AQ9</f>
        <v>6</v>
      </c>
      <c r="D9" s="403">
        <f>IF(ISNUMBER(Datos!M9),Datos!M9," - ")</f>
        <v>741</v>
      </c>
      <c r="E9" s="404">
        <f t="shared" ref="E9:E13" si="0">IF(ISNUMBER(D9/B9),D9/B9," - ")</f>
        <v>123.5</v>
      </c>
      <c r="F9" s="403">
        <f>IF(ISNUMBER(Datos!N9),Datos!N9," - ")</f>
        <v>942</v>
      </c>
      <c r="G9" s="404">
        <f t="shared" ref="G9:G13" si="1">IF(ISNUMBER(F9/B9),F9/B9," - ")</f>
        <v>157</v>
      </c>
      <c r="H9" s="403">
        <f>IF(ISNUMBER(Datos!O9),Datos!O9," - ")</f>
        <v>1640</v>
      </c>
      <c r="I9" s="404">
        <f>IF(ISNUMBER(H9/B9),H9/B9," - ")</f>
        <v>273.33333333333331</v>
      </c>
    </row>
    <row r="10" spans="1:9">
      <c r="A10" s="402" t="str">
        <f>Datos!A10</f>
        <v>Jdos. Violencia contra la mujer</v>
      </c>
      <c r="B10" s="427">
        <f>Datos!AO10</f>
        <v>1</v>
      </c>
      <c r="C10" s="410">
        <f>Datos!AQ10</f>
        <v>1</v>
      </c>
      <c r="D10" s="403">
        <f>IF(ISNUMBER(Datos!M10),Datos!M10," - ")</f>
        <v>24</v>
      </c>
      <c r="E10" s="404">
        <f>IF(ISNUMBER(D10/B10),D10/B10," - ")</f>
        <v>24</v>
      </c>
      <c r="F10" s="403">
        <f>IF(ISNUMBER(Datos!N10),Datos!N10," - ")</f>
        <v>28</v>
      </c>
      <c r="G10" s="404">
        <f>IF(ISNUMBER(F10/B10),F10/B10," - ")</f>
        <v>28</v>
      </c>
      <c r="H10" s="403">
        <f>IF(ISNUMBER(Datos!O10),Datos!O10," - ")</f>
        <v>17</v>
      </c>
      <c r="I10" s="404">
        <f t="shared" ref="I10:I12" si="2">IF(ISNUMBER(H10/B10),H10/B10," - ")</f>
        <v>17</v>
      </c>
    </row>
    <row r="11" spans="1:9">
      <c r="A11" s="402" t="str">
        <f>Datos!A11</f>
        <v xml:space="preserve">Jdos. Familia                                   </v>
      </c>
      <c r="B11" s="427">
        <f>Datos!AO11</f>
        <v>1</v>
      </c>
      <c r="C11" s="410">
        <f>Datos!AQ11</f>
        <v>1</v>
      </c>
      <c r="D11" s="403">
        <f>IF(ISNUMBER(Datos!M11),Datos!M11," - ")</f>
        <v>159</v>
      </c>
      <c r="E11" s="404">
        <f t="shared" si="0"/>
        <v>159</v>
      </c>
      <c r="F11" s="403">
        <f>IF(ISNUMBER(Datos!N11),Datos!N11," - ")</f>
        <v>260</v>
      </c>
      <c r="G11" s="404">
        <f t="shared" si="1"/>
        <v>260</v>
      </c>
      <c r="H11" s="403">
        <f>IF(ISNUMBER(Datos!O11),Datos!O11," - ")</f>
        <v>79</v>
      </c>
      <c r="I11" s="404">
        <f t="shared" si="2"/>
        <v>79</v>
      </c>
    </row>
    <row r="12" spans="1:9"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0</v>
      </c>
      <c r="I12" s="404" t="str">
        <f t="shared" si="2"/>
        <v xml:space="preserve"> - </v>
      </c>
    </row>
    <row r="13" spans="1:9" ht="14.25" thickTop="1" thickBot="1">
      <c r="A13" s="848" t="str">
        <f>Datos!A13</f>
        <v>TOTAL</v>
      </c>
      <c r="B13" s="849">
        <f>Datos!AO13</f>
        <v>8</v>
      </c>
      <c r="C13" s="851">
        <f>Datos!AR13</f>
        <v>8</v>
      </c>
      <c r="D13" s="849">
        <f>SUBTOTAL(9,D9:D12)</f>
        <v>924</v>
      </c>
      <c r="E13" s="850">
        <f t="shared" si="0"/>
        <v>115.5</v>
      </c>
      <c r="F13" s="849">
        <f>SUBTOTAL(9,F9:F12)</f>
        <v>1230</v>
      </c>
      <c r="G13" s="850">
        <f t="shared" si="1"/>
        <v>153.75</v>
      </c>
      <c r="H13" s="849">
        <f>SUBTOTAL(9,H9:H12)</f>
        <v>1736</v>
      </c>
      <c r="I13" s="850">
        <f>IF(ISNUMBER(H13/B13),H13/B13," - ")</f>
        <v>217</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3</v>
      </c>
      <c r="C15" s="428">
        <f>Datos!AQ15</f>
        <v>3</v>
      </c>
      <c r="D15" s="403">
        <f>IF(ISNUMBER(Datos!M15),Datos!M15," - ")</f>
        <v>329</v>
      </c>
      <c r="E15" s="404">
        <f t="shared" ref="E15:E18" si="3">IF(ISNUMBER(D15/B15),D15/B15," - ")</f>
        <v>109.66666666666667</v>
      </c>
      <c r="F15" s="403">
        <f>IF(ISNUMBER(Datos!N15),Datos!N15," - ")</f>
        <v>900</v>
      </c>
      <c r="G15" s="404">
        <f t="shared" ref="G15:G18" si="4">IF(ISNUMBER(F15/B15),F15/B15," - ")</f>
        <v>300</v>
      </c>
      <c r="H15" s="403">
        <f>IF(ISNUMBER(Datos!O15),Datos!O15," - ")</f>
        <v>71</v>
      </c>
      <c r="I15" s="404">
        <f t="shared" ref="I15:I17" si="5">IF(ISNUMBER(H15/B15),H15/B15," - ")</f>
        <v>23.666666666666668</v>
      </c>
    </row>
    <row r="16" spans="1:9">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row>
    <row r="17" spans="1:9" ht="13.5" thickBot="1">
      <c r="A17" s="402" t="str">
        <f>Datos!A17</f>
        <v>Jdos. Violencia contra la mujer</v>
      </c>
      <c r="B17" s="427">
        <f>Datos!AO17</f>
        <v>1</v>
      </c>
      <c r="C17" s="428">
        <f>Datos!AQ17</f>
        <v>1</v>
      </c>
      <c r="D17" s="403">
        <f>IF(ISNUMBER(Datos!M17),Datos!M17," - ")</f>
        <v>34</v>
      </c>
      <c r="E17" s="404">
        <f>IF(ISNUMBER(D17/B17),D17/B17," - ")</f>
        <v>34</v>
      </c>
      <c r="F17" s="403">
        <f>IF(ISNUMBER(Datos!N17),Datos!N17," - ")</f>
        <v>78</v>
      </c>
      <c r="G17" s="404">
        <f>IF(ISNUMBER(F17/B17),F17/B17," - ")</f>
        <v>78</v>
      </c>
      <c r="H17" s="403">
        <f>IF(ISNUMBER(Datos!O17),Datos!O17," - ")</f>
        <v>0</v>
      </c>
      <c r="I17" s="404">
        <f t="shared" si="5"/>
        <v>0</v>
      </c>
    </row>
    <row r="18" spans="1:9" ht="14.25" thickTop="1" thickBot="1">
      <c r="A18" s="848" t="str">
        <f>Datos!A18</f>
        <v>TOTAL</v>
      </c>
      <c r="B18" s="849">
        <f>Datos!AO18</f>
        <v>4</v>
      </c>
      <c r="C18" s="851">
        <f>Datos!AR18</f>
        <v>4</v>
      </c>
      <c r="D18" s="849">
        <f>SUBTOTAL(9,D15:D17)</f>
        <v>363</v>
      </c>
      <c r="E18" s="850">
        <f t="shared" si="3"/>
        <v>90.75</v>
      </c>
      <c r="F18" s="849">
        <f>SUBTOTAL(9,F15:F17)</f>
        <v>978</v>
      </c>
      <c r="G18" s="850">
        <f t="shared" si="4"/>
        <v>244.5</v>
      </c>
      <c r="H18" s="849">
        <f>SUBTOTAL(9,H15:H17)</f>
        <v>71</v>
      </c>
      <c r="I18" s="850">
        <f>IF(ISNUMBER(H18/B18),H18/B18," - ")</f>
        <v>17.75</v>
      </c>
    </row>
    <row r="19" spans="1:9" ht="14.25" thickTop="1" thickBot="1">
      <c r="A19" s="793" t="str">
        <f>Datos!A19</f>
        <v>TOTAL JURISDICCIONES</v>
      </c>
      <c r="B19" s="794">
        <f>Datos!AP19</f>
        <v>11</v>
      </c>
      <c r="C19" s="794">
        <f>Datos!AR19</f>
        <v>11</v>
      </c>
      <c r="D19" s="794">
        <f>SUBTOTAL(9,D8:D18)</f>
        <v>1287</v>
      </c>
      <c r="E19" s="795">
        <f>IF(ISNUMBER(D19/B19),D19/B19," - ")</f>
        <v>117</v>
      </c>
      <c r="F19" s="794">
        <f>SUBTOTAL(9,F8:F18)</f>
        <v>2208</v>
      </c>
      <c r="G19" s="795">
        <f>IF(ISNUMBER(F19/B19),F19/B19," - ")</f>
        <v>200.72727272727272</v>
      </c>
      <c r="H19" s="794">
        <f>SUBTOTAL(9,H8:H18)</f>
        <v>1807</v>
      </c>
      <c r="I19" s="795">
        <f>IF(ISNUMBER(H19/B19),H19/B19," - ")</f>
        <v>164.27272727272728</v>
      </c>
    </row>
    <row r="22" spans="1:9">
      <c r="A22" s="391" t="str">
        <f>Criterios!A4</f>
        <v>Fecha Informe: 29 may. 2024</v>
      </c>
    </row>
    <row r="27" spans="1:9">
      <c r="A27" s="414"/>
    </row>
  </sheetData>
  <sheetProtection algorithmName="SHA-512" hashValue="hIDe0Y/oJDcbA6cNXEFxi0V9VbQrRy1Q/6zoEuoSEdDw8YnFbAbKX4O3J2lwsJAuqobvPVNiUub7rH7f3DAgVQ==" saltValue="WaXTEMhCq40xIAuZ4/Pc2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LA RIOJA</v>
      </c>
    </row>
    <row r="3" spans="1:4" ht="19.5">
      <c r="A3" s="429" t="s">
        <v>32</v>
      </c>
      <c r="B3" s="391" t="str">
        <f>Criterios!A10 &amp;"  "&amp;Criterios!B10</f>
        <v>Provincias  LA RIOJA</v>
      </c>
    </row>
    <row r="4" spans="1:4" ht="13.5" thickBot="1">
      <c r="B4" s="391" t="str">
        <f>Criterios!A11 &amp;"  "&amp;Criterios!B11</f>
        <v>Resumenes por Partidos Judiciales  LOGROÑO</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f>IF(ISNUMBER(Datos!P9),Datos!P9," - ")</f>
        <v>740</v>
      </c>
      <c r="C9" s="434">
        <f>IF(ISNUMBER(Datos!Q9),Datos!Q9," - ")</f>
        <v>558</v>
      </c>
      <c r="D9" s="408">
        <f>IF(ISNUMBER(Datos!R9),Datos!R9," - ")</f>
        <v>7830</v>
      </c>
    </row>
    <row r="10" spans="1:4">
      <c r="A10" s="402" t="str">
        <f>Datos!A10</f>
        <v>Jdos. Violencia contra la mujer</v>
      </c>
      <c r="B10" s="433">
        <f>IF(ISNUMBER(Datos!P10),Datos!P10," - ")</f>
        <v>13</v>
      </c>
      <c r="C10" s="434">
        <f>IF(ISNUMBER(Datos!Q10),Datos!Q10," - ")</f>
        <v>12</v>
      </c>
      <c r="D10" s="408">
        <f>IF(ISNUMBER(Datos!R10),Datos!R10," - ")</f>
        <v>180</v>
      </c>
    </row>
    <row r="11" spans="1:4">
      <c r="A11" s="402" t="str">
        <f>Datos!A11</f>
        <v xml:space="preserve">Jdos. Familia                                   </v>
      </c>
      <c r="B11" s="433">
        <f>IF(ISNUMBER(Datos!P11),Datos!P11," - ")</f>
        <v>35</v>
      </c>
      <c r="C11" s="434">
        <f>IF(ISNUMBER(Datos!Q11),Datos!Q11," - ")</f>
        <v>25</v>
      </c>
      <c r="D11" s="408">
        <f>IF(ISNUMBER(Datos!R11),Datos!R11," - ")</f>
        <v>630</v>
      </c>
    </row>
    <row r="12" spans="1:4" ht="13.5" thickBot="1">
      <c r="A12" s="402" t="str">
        <f>Datos!A12</f>
        <v xml:space="preserve">Jdos. 1ª Instª. e Instr.                        </v>
      </c>
      <c r="B12" s="433">
        <f>IF(ISNUMBER(Datos!P12),Datos!P12," - ")</f>
        <v>0</v>
      </c>
      <c r="C12" s="434">
        <f>IF(ISNUMBER(Datos!Q12),Datos!Q12," - ")</f>
        <v>2</v>
      </c>
      <c r="D12" s="408">
        <f>IF(ISNUMBER(Datos!R12),Datos!R12," - ")</f>
        <v>49</v>
      </c>
    </row>
    <row r="13" spans="1:4" ht="14.25" thickTop="1" thickBot="1">
      <c r="A13" s="848" t="str">
        <f>Datos!A13</f>
        <v>TOTAL</v>
      </c>
      <c r="B13" s="849">
        <f>SUBTOTAL(9,B9:B12)</f>
        <v>788</v>
      </c>
      <c r="C13" s="853">
        <f>SUBTOTAL(9,C9:C12)</f>
        <v>597</v>
      </c>
      <c r="D13" s="851">
        <f>SUBTOTAL(9,D9:D12)</f>
        <v>8689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72</v>
      </c>
      <c r="C15" s="434">
        <f>IF(ISNUMBER(Datos!Q15),Datos!Q15," - ")</f>
        <v>82</v>
      </c>
      <c r="D15" s="408">
        <f>IF(ISNUMBER(Datos!R15),Datos!R15," - ")</f>
        <v>313</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0</v>
      </c>
      <c r="D17" s="408">
        <f>IF(ISNUMBER(Datos!R17),Datos!R17," - ")</f>
        <v>5</v>
      </c>
    </row>
    <row r="18" spans="1:4" ht="14.25" thickTop="1" thickBot="1">
      <c r="A18" s="848" t="str">
        <f>Datos!A18</f>
        <v>TOTAL</v>
      </c>
      <c r="B18" s="849">
        <f>SUBTOTAL(9,B15:B17)</f>
        <v>72</v>
      </c>
      <c r="C18" s="853">
        <f>SUBTOTAL(9,C15:C17)</f>
        <v>82</v>
      </c>
      <c r="D18" s="851">
        <f>SUBTOTAL(9,D15:D17)</f>
        <v>318</v>
      </c>
    </row>
    <row r="19" spans="1:4" ht="16.5" customHeight="1" thickTop="1" thickBot="1">
      <c r="A19" s="793" t="str">
        <f>Datos!A19</f>
        <v>TOTAL JURISDICCIONES</v>
      </c>
      <c r="B19" s="798">
        <f>SUBTOTAL(9,B8:B18)</f>
        <v>860</v>
      </c>
      <c r="C19" s="799">
        <f>SUBTOTAL(9,C8:C18)</f>
        <v>679</v>
      </c>
      <c r="D19" s="800">
        <f>SUBTOTAL(9,D8:D18)</f>
        <v>9007</v>
      </c>
    </row>
    <row r="20" spans="1:4" ht="7.5" customHeight="1"/>
    <row r="21" spans="1:4" ht="6" customHeight="1"/>
    <row r="22" spans="1:4">
      <c r="A22" s="391" t="str">
        <f>Criterios!A4</f>
        <v>Fecha Informe: 29 may. 2024</v>
      </c>
    </row>
    <row r="27" spans="1:4">
      <c r="A27" s="414"/>
    </row>
  </sheetData>
  <sheetProtection algorithmName="SHA-512" hashValue="A4KT3fhpkFPhpgSlth4uVUz6W5j3lvnmHNm0YW6/YXq/3pBCu2gsxR1hQRjd7Y6x+Uz5Jp0ClBlNmVwkcBAS8Q==" saltValue="9T4Z2MzKs9k6sLBAJqXpf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LA RIOJA</v>
      </c>
    </row>
    <row r="3" spans="1:11" ht="18.75" customHeight="1">
      <c r="A3" s="429" t="s">
        <v>118</v>
      </c>
      <c r="B3" s="391" t="str">
        <f>Criterios!A10 &amp;"  "&amp;Criterios!B10</f>
        <v>Provincias  LA RIOJA</v>
      </c>
    </row>
    <row r="4" spans="1:11" ht="10.5" customHeight="1" thickBot="1">
      <c r="B4" s="391" t="str">
        <f>Criterios!A11 &amp;"  "&amp;Criterios!B11</f>
        <v>Resumenes por Partidos Judiciales  LOGROÑO</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0.60491206791995145</v>
      </c>
      <c r="C9" s="456">
        <f>IF(ISNUMBER(
   IF(J_V="SI",(Datos!J9-Datos!T9)/Datos!T9,(Datos!J9+Datos!Z9-(Datos!T9+Datos!AH9))/(Datos!T9+Datos!AH9))
     ),IF(J_V="SI",(Datos!J9-Datos!T9)/Datos!T9,(Datos!J9+Datos!Z9-(Datos!T9+Datos!AH9))/(Datos!T9+Datos!AH9))," - ")</f>
        <v>3.2225392296718973</v>
      </c>
      <c r="D9" s="456">
        <f>IF(ISNUMBER(
   IF(J_V="SI",(Datos!K9-Datos!U9)/Datos!U9,(Datos!K9+Datos!AA9-(Datos!U9+Datos!AI9))/(Datos!U9+Datos!AI9))
     ),IF(J_V="SI",(Datos!K9-Datos!U9)/Datos!U9,(Datos!K9+Datos!AA9-(Datos!U9+Datos!AI9))/(Datos!U9+Datos!AI9))," - ")</f>
        <v>2.6194805194805193</v>
      </c>
      <c r="E9" s="456">
        <f>IF(ISNUMBER(
   IF(J_V="SI",(Datos!L9-Datos!V9)/Datos!V9,(Datos!L9+Datos!AB9-(Datos!V9+Datos!AJ9))/(Datos!V9+Datos!AJ9))
     ),IF(J_V="SI",(Datos!L9-Datos!V9)/Datos!V9,(Datos!L9+Datos!AB9-(Datos!V9+Datos!AJ9))/(Datos!V9+Datos!AJ9))," - ")</f>
        <v>0.68256426138123261</v>
      </c>
      <c r="F9" s="456">
        <f>IF(ISNUMBER((Datos!M9-Datos!W9)/Datos!W9),(Datos!M9-Datos!W9)/Datos!W9," - ")</f>
        <v>2.0368852459016393</v>
      </c>
      <c r="G9" s="457">
        <f>IF(ISNUMBER((Datos!N9-Datos!X9)/Datos!X9),(Datos!N9-Datos!X9)/Datos!X9," - ")</f>
        <v>2.009584664536741</v>
      </c>
      <c r="H9" s="455">
        <f>IF(ISNUMBER(((NºAsuntos!G9/NºAsuntos!E9)-Datos!BD9)/Datos!BD9),((NºAsuntos!G9/NºAsuntos!E9)-Datos!BD9)/Datos!BD9," - ")</f>
        <v>-0.14281897156897166</v>
      </c>
      <c r="I9" s="456">
        <f>IF(ISNUMBER(((NºAsuntos!I9/NºAsuntos!G9)-Datos!BE9)/Datos!BE9),((NºAsuntos!I9/NºAsuntos!G9)-Datos!BE9)/Datos!BE9," - ")</f>
        <v>-0.53513653345405487</v>
      </c>
      <c r="J9" s="461">
        <f>IF(ISNUMBER((('Resol  Asuntos'!D9/NºAsuntos!G9)-Datos!BF9)/Datos!BF9),(('Resol  Asuntos'!D9/NºAsuntos!G9)-Datos!BF9)/Datos!BF9," - ")</f>
        <v>-0.34592488401764937</v>
      </c>
      <c r="K9" s="462">
        <f>IF(ISNUMBER((((NºAsuntos!C9+NºAsuntos!E9)/NºAsuntos!G9)-Datos!BG9)/Datos!BG9),(((NºAsuntos!C9+NºAsuntos!E9)/NºAsuntos!G9)-Datos!BG9)/Datos!BG9," - ")</f>
        <v>-0.42981708828714182</v>
      </c>
    </row>
    <row r="10" spans="1:11">
      <c r="A10" s="402" t="str">
        <f>Datos!A10</f>
        <v>Jdos. Violencia contra la mujer</v>
      </c>
      <c r="B10" s="455">
        <f>IF(ISNUMBER((Datos!I10-Datos!S10)/Datos!S10),(Datos!I10-Datos!S10)/Datos!S10," - ")</f>
        <v>0.4391891891891892</v>
      </c>
      <c r="C10" s="456">
        <f>IF(ISNUMBER((Datos!J10-Datos!T10)/Datos!T10),(Datos!J10-Datos!T10)/Datos!T10," - ")</f>
        <v>-0.21621621621621623</v>
      </c>
      <c r="D10" s="456">
        <f>IF(ISNUMBER((Datos!K10-Datos!U10)/Datos!U10),(Datos!K10-Datos!U10)/Datos!U10," - ")</f>
        <v>0.45</v>
      </c>
      <c r="E10" s="456">
        <f>IF(ISNUMBER((Datos!L10-Datos!V10)/Datos!V10),(Datos!L10-Datos!V10)/Datos!V10," - ")</f>
        <v>0.17032967032967034</v>
      </c>
      <c r="F10" s="456">
        <f>IF(ISNUMBER((Datos!M10-Datos!W10)/Datos!W10),(Datos!M10-Datos!W10)/Datos!W10," - ")</f>
        <v>1.4</v>
      </c>
      <c r="G10" s="457">
        <f>IF(ISNUMBER((Datos!N10-Datos!X10)/Datos!X10),(Datos!N10-Datos!X10)/Datos!X10," - ")</f>
        <v>-0.2</v>
      </c>
      <c r="H10" s="455">
        <f>IF(ISNUMBER(((NºAsuntos!G10/NºAsuntos!E10)-Datos!BD10)/Datos!BD10),((NºAsuntos!G10/NºAsuntos!E10)-Datos!BD10)/Datos!BD10," - ")</f>
        <v>0.84999999999999987</v>
      </c>
      <c r="I10" s="456">
        <f>IF(ISNUMBER(((NºAsuntos!I10/NºAsuntos!G10)-Datos!BE10)/Datos!BE10),((NºAsuntos!I10/NºAsuntos!G10)-Datos!BE10)/Datos!BE10," - ")</f>
        <v>-0.19287608942781351</v>
      </c>
      <c r="J10" s="461">
        <f>IF(ISNUMBER((('Resol  Asuntos'!D10/NºAsuntos!G10)-Datos!BF10)/Datos!BF10),(('Resol  Asuntos'!D10/NºAsuntos!G10)-Datos!BF10)/Datos!BF10," - ")</f>
        <v>0.65517241379310343</v>
      </c>
      <c r="K10" s="462">
        <f>IF(ISNUMBER((((NºAsuntos!C10+NºAsuntos!E10)/NºAsuntos!G10)-Datos!BG10)/Datos!BG10),(((NºAsuntos!C10+NºAsuntos!E10)/NºAsuntos!G10)-Datos!BG10)/Datos!BG10," - ")</f>
        <v>-0.15812364088226152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0.18137847642079807</v>
      </c>
      <c r="C11" s="456">
        <f>IF(ISNUMBER(
   IF(J_V="SI",(Datos!J11-Datos!T11)/Datos!T11,(Datos!J11+Datos!Z11-(Datos!T11+Datos!AH11))/(Datos!T11+Datos!AH11))
     ),IF(J_V="SI",(Datos!J11-Datos!T11)/Datos!T11,(Datos!J11+Datos!Z11-(Datos!T11+Datos!AH11))/(Datos!T11+Datos!AH11))," - ")</f>
        <v>0.31788079470198677</v>
      </c>
      <c r="D11" s="456">
        <f>IF(ISNUMBER(
   IF(J_V="SI",(Datos!K11-Datos!U11)/Datos!U11,(Datos!K11+Datos!AA11-(Datos!U11+Datos!AI11))/(Datos!U11+Datos!AI11))
     ),IF(J_V="SI",(Datos!K11-Datos!U11)/Datos!U11,(Datos!K11+Datos!AA11-(Datos!U11+Datos!AI11))/(Datos!U11+Datos!AI11))," - ")</f>
        <v>1.0170212765957447</v>
      </c>
      <c r="E11" s="456">
        <f>IF(ISNUMBER(
   IF(J_V="SI",(Datos!L11-Datos!V11)/Datos!V11,(Datos!L11+Datos!AB11-(Datos!V11+Datos!AJ11))/(Datos!V11+Datos!AJ11))
     ),IF(J_V="SI",(Datos!L11-Datos!V11)/Datos!V11,(Datos!L11+Datos!AB11-(Datos!V11+Datos!AJ11))/(Datos!V11+Datos!AJ11))," - ")</f>
        <v>7.829977628635347E-3</v>
      </c>
      <c r="F11" s="456">
        <f>IF(ISNUMBER((Datos!M11-Datos!W11)/Datos!W11),(Datos!M11-Datos!W11)/Datos!W11," - ")</f>
        <v>2.1176470588235294</v>
      </c>
      <c r="G11" s="457">
        <f>IF(ISNUMBER((Datos!N11-Datos!X11)/Datos!X11),(Datos!N11-Datos!X11)/Datos!X11," - ")</f>
        <v>0.55688622754491013</v>
      </c>
      <c r="H11" s="455">
        <f>IF(ISNUMBER(((NºAsuntos!G11/NºAsuntos!E11)-Datos!BD11)/Datos!BD11),((NºAsuntos!G11/NºAsuntos!E11)-Datos!BD11)/Datos!BD11," - ")</f>
        <v>0.53050358173847956</v>
      </c>
      <c r="I11" s="456">
        <f>IF(ISNUMBER(((NºAsuntos!I11/NºAsuntos!G11)-Datos!BE11)/Datos!BE11),((NºAsuntos!I11/NºAsuntos!G11)-Datos!BE11)/Datos!BE11," - ")</f>
        <v>-0.50033745834867238</v>
      </c>
      <c r="J11" s="461">
        <f>IF(ISNUMBER((('Resol  Asuntos'!D11/NºAsuntos!G11)-Datos!BF11)/Datos!BF11),(('Resol  Asuntos'!D11/NºAsuntos!G11)-Datos!BF11)/Datos!BF11," - ")</f>
        <v>-0.52796937770029562</v>
      </c>
      <c r="K11" s="462">
        <f>IF(ISNUMBER((((NºAsuntos!C11+NºAsuntos!E11)/NºAsuntos!G11)-Datos!BG11)/Datos!BG11),(((NºAsuntos!C11+NºAsuntos!E11)/NºAsuntos!G11)-Datos!BG11)/Datos!BG11," - ")</f>
        <v>-0.39619281467113643</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0.51708001871782872</v>
      </c>
      <c r="C13" s="855">
        <f>IF(ISNUMBER(
   IF(J_V="SI",(Datos!J13-Datos!T13)/Datos!T13,(Datos!J13+Datos!Z13-(Datos!T13+Datos!AH13))/(Datos!T13+Datos!AH13))
     ),IF(J_V="SI",(Datos!J13-Datos!T13)/Datos!T13,(Datos!J13+Datos!Z13-(Datos!T13+Datos!AH13))/(Datos!T13+Datos!AH13))," - ")</f>
        <v>2.1717734447539461</v>
      </c>
      <c r="D13" s="855">
        <f>IF(ISNUMBER(
   IF(J_V="SI",(Datos!K13-Datos!U13)/Datos!U13,(Datos!K13+Datos!AA13-(Datos!U13+Datos!AI13))/(Datos!U13+Datos!AI13))
     ),IF(J_V="SI",(Datos!K13-Datos!U13)/Datos!U13,(Datos!K13+Datos!AA13-(Datos!U13+Datos!AI13))/(Datos!U13+Datos!AI13))," - ")</f>
        <v>2.1760765550239234</v>
      </c>
      <c r="E13" s="855">
        <f>IF(ISNUMBER(
   IF(J_V="SI",(Datos!L13-Datos!V13)/Datos!V13,(Datos!L13+Datos!AB13-(Datos!V13+Datos!AJ13))/(Datos!V13+Datos!AJ13))
     ),IF(J_V="SI",(Datos!L13-Datos!V13)/Datos!V13,(Datos!L13+Datos!AB13-(Datos!V13+Datos!AJ13))/(Datos!V13+Datos!AJ13))," - ")</f>
        <v>0.52066883418485832</v>
      </c>
      <c r="F13" s="856">
        <f>IF(ISNUMBER((Datos!M13-Datos!W13)/Datos!W13),(Datos!M13-Datos!W13)/Datos!W13," - ")</f>
        <v>2.0295081967213116</v>
      </c>
      <c r="G13" s="857">
        <f>IF(ISNUMBER((Datos!N13-Datos!X13)/Datos!X13),(Datos!N13-Datos!X13)/Datos!X13," - ")</f>
        <v>1.3883495145631068</v>
      </c>
      <c r="H13" s="857">
        <f>IF(ISNUMBER(((NºAsuntos!G13/NºAsuntos!E13)-Datos!BD13)/Datos!BD13),((NºAsuntos!G13/NºAsuntos!E13)-Datos!BD13)/Datos!BD13," - ")</f>
        <v>1.356689040036764E-3</v>
      </c>
      <c r="I13" s="857">
        <f>IF(ISNUMBER(((NºAsuntos!I13/NºAsuntos!G13)-Datos!BE13)/Datos!BE13),((NºAsuntos!I13/NºAsuntos!G13)-Datos!BE13)/Datos!BE13," - ")</f>
        <v>-0.52121153006231491</v>
      </c>
      <c r="J13" s="857">
        <f>IF(ISNUMBER((('Resol  Asuntos'!D13/NºAsuntos!G13)-Datos!BF13)/Datos!BF13),(('Resol  Asuntos'!D13/NºAsuntos!G13)-Datos!BF13)/Datos!BF13," - ")</f>
        <v>-0.40627555632075063</v>
      </c>
      <c r="K13" s="857">
        <f>IF(ISNUMBER((((NºAsuntos!C13+NºAsuntos!E13)/NºAsuntos!G13)-Datos!BG13)/Datos!BG13),(((NºAsuntos!C13+NºAsuntos!E13)/NºAsuntos!G13)-Datos!BG13)/Datos!BG13," - ")</f>
        <v>-0.41748209132572245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0.6735598227474151</v>
      </c>
      <c r="C15" s="456">
        <f>IF(ISNUMBER(
   IF(D_I="SI",(Datos!J15-Datos!T15)/Datos!T15,(Datos!J15+Datos!AD15-(Datos!T15+Datos!AL15))/(Datos!T15+Datos!AL15))
     ),IF(D_I="SI",(Datos!J15-Datos!T15)/Datos!T15,(Datos!J15+Datos!AD15-(Datos!T15+Datos!AL15))/(Datos!T15+Datos!AL15))," - ")</f>
        <v>-7.4282498593134502E-2</v>
      </c>
      <c r="D15" s="456">
        <f>IF(ISNUMBER(
   IF(D_I="SI",(Datos!K15-Datos!U15)/Datos!U15,(Datos!K15+Datos!AE15-(Datos!U15+Datos!AM15))/(Datos!U15+Datos!AM15))
     ),IF(D_I="SI",(Datos!K15-Datos!U15)/Datos!U15,(Datos!K15+Datos!AE15-(Datos!U15+Datos!AM15))/(Datos!U15+Datos!AM15))," - ")</f>
        <v>0.34365994236311237</v>
      </c>
      <c r="E15" s="456">
        <f>IF(ISNUMBER(
   IF(D_I="SI",(Datos!L15-Datos!V15)/Datos!V15,(Datos!L15+Datos!AF15-(Datos!V15+Datos!AN15))/(Datos!V15+Datos!AN15))
     ),IF(D_I="SI",(Datos!L15-Datos!V15)/Datos!V15,(Datos!L15+Datos!AF15-(Datos!V15+Datos!AN15))/(Datos!V15+Datos!AN15))," - ")</f>
        <v>0.30561245391233099</v>
      </c>
      <c r="F15" s="456">
        <f>IF(ISNUMBER((Datos!M15-Datos!W15)/Datos!W15),(Datos!M15-Datos!W15)/Datos!W15," - ")</f>
        <v>0.50228310502283102</v>
      </c>
      <c r="G15" s="457">
        <f>IF(ISNUMBER((Datos!N15-Datos!X15)/Datos!X15),(Datos!N15-Datos!X15)/Datos!X15," - ")</f>
        <v>0.12079701120797011</v>
      </c>
      <c r="H15" s="455">
        <f>IF(ISNUMBER(((NºAsuntos!G15/NºAsuntos!E15)-Datos!BD15)/Datos!BD15),((NºAsuntos!G15/NºAsuntos!E15)-Datos!BD15)/Datos!BD15," - ")</f>
        <v>0.45147946357401253</v>
      </c>
      <c r="I15" s="456">
        <f>IF(ISNUMBER(((NºAsuntos!I15/NºAsuntos!G15)-Datos!BE15)/Datos!BE15),((NºAsuntos!I15/NºAsuntos!G15)-Datos!BE15)/Datos!BE15," - ")</f>
        <v>-2.831630775854397E-2</v>
      </c>
      <c r="J15" s="461">
        <f>IF(ISNUMBER((('Resol  Asuntos'!D15/NºAsuntos!G15)-Datos!BF15)/Datos!BF15),(('Resol  Asuntos'!D15/NºAsuntos!G15)-Datos!BF15)/Datos!BF15," - ")</f>
        <v>0.11805305617784966</v>
      </c>
      <c r="K15" s="462">
        <f>IF(ISNUMBER((((NºAsuntos!C15+NºAsuntos!E15)/NºAsuntos!G15)-Datos!BG15)/Datos!BG15),(((NºAsuntos!C15+NºAsuntos!E15)/NºAsuntos!G15)-Datos!BG15)/Datos!BG15," - ")</f>
        <v>-1.4200103633946958E-2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0.25572519083969464</v>
      </c>
      <c r="C17" s="456">
        <f>IF(ISNUMBER(
   IF(D_I="SI",(Datos!J17-Datos!T17)/Datos!T17,(Datos!J17+Datos!AD17-(Datos!T17+Datos!AL17))/(Datos!T17+Datos!AL17))
     ),IF(D_I="SI",(Datos!J17-Datos!T17)/Datos!T17,(Datos!J17+Datos!AD17-(Datos!T17+Datos!AL17))/(Datos!T17+Datos!AL17))," - ")</f>
        <v>4.7619047619047616E-2</v>
      </c>
      <c r="D17" s="456">
        <f>IF(ISNUMBER(
   IF(D_I="SI",(Datos!K17-Datos!U17)/Datos!U17,(Datos!K17+Datos!AE17-(Datos!U17+Datos!AM17))/(Datos!U17+Datos!AM17))
     ),IF(D_I="SI",(Datos!K17-Datos!U17)/Datos!U17,(Datos!K17+Datos!AE17-(Datos!U17+Datos!AM17))/(Datos!U17+Datos!AM17))," - ")</f>
        <v>-0.1</v>
      </c>
      <c r="E17" s="456">
        <f>IF(ISNUMBER(
   IF(D_I="SI",(Datos!L17-Datos!V17)/Datos!V17,(Datos!L17+Datos!AF17-(Datos!V17+Datos!AN17))/(Datos!V17+Datos!AN17))
     ),IF(D_I="SI",(Datos!L17-Datos!V17)/Datos!V17,(Datos!L17+Datos!AF17-(Datos!V17+Datos!AN17))/(Datos!V17+Datos!AN17))," - ")</f>
        <v>0.37404580152671757</v>
      </c>
      <c r="F17" s="456">
        <f>IF(ISNUMBER((Datos!M17-Datos!W17)/Datos!W17),(Datos!M17-Datos!W17)/Datos!W17," - ")</f>
        <v>3.0303030303030304E-2</v>
      </c>
      <c r="G17" s="457">
        <f>IF(ISNUMBER((Datos!N17-Datos!X17)/Datos!X17),(Datos!N17-Datos!X17)/Datos!X17," - ")</f>
        <v>-9.3023255813953487E-2</v>
      </c>
      <c r="H17" s="455">
        <f>IF(ISNUMBER(((NºAsuntos!G17/NºAsuntos!E17)-Datos!BD17)/Datos!BD17),((NºAsuntos!G17/NºAsuntos!E17)-Datos!BD17)/Datos!BD17," - ")</f>
        <v>-0.14090909090909087</v>
      </c>
      <c r="I17" s="456">
        <f>IF(ISNUMBER(((NºAsuntos!I17/NºAsuntos!G17)-Datos!BE17)/Datos!BE17),((NºAsuntos!I17/NºAsuntos!G17)-Datos!BE17)/Datos!BE17," - ")</f>
        <v>0.52671755725190827</v>
      </c>
      <c r="J17" s="461">
        <f>IF(ISNUMBER((('Resol  Asuntos'!D17/NºAsuntos!G17)-Datos!BF17)/Datos!BF17),(('Resol  Asuntos'!D17/NºAsuntos!G17)-Datos!BF17)/Datos!BF17," - ")</f>
        <v>0.14478114478114473</v>
      </c>
      <c r="K17" s="462">
        <f>IF(ISNUMBER((((NºAsuntos!C17+NºAsuntos!E17)/NºAsuntos!G17)-Datos!BG17)/Datos!BG17),(((NºAsuntos!C17+NºAsuntos!E17)/NºAsuntos!G17)-Datos!BG17)/Datos!BG17," - ")</f>
        <v>0.29237288135593215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0.62581770606192766</v>
      </c>
      <c r="C18" s="855">
        <f>IF(ISNUMBER(
   IF(Criterios!B14="SI",(Datos!J18-Datos!T18)/Datos!T18,(Datos!J18+Datos!AD18-(Datos!T18+Datos!AL18))/(Datos!T18+Datos!AL18))
     ),IF(Criterios!B14="SI",(Datos!J18-Datos!T18)/Datos!T18,(Datos!J18+Datos!AD18-(Datos!T18+Datos!AL18))/(Datos!T18+Datos!AL18))," - ")</f>
        <v>-6.139909411172622E-2</v>
      </c>
      <c r="D18" s="855">
        <f>IF(ISNUMBER(
   IF(Criterios!B14="SI",(Datos!K18-Datos!U18)/Datos!U18,(Datos!K18+Datos!AE18-(Datos!U18+Datos!AM18))/(Datos!U18+Datos!AM18))
     ),IF(Criterios!B14="SI",(Datos!K18-Datos!U18)/Datos!U18,(Datos!K18+Datos!AE18-(Datos!U18+Datos!AM18))/(Datos!U18+Datos!AM18))," - ")</f>
        <v>0.28535669586983731</v>
      </c>
      <c r="E18" s="855">
        <f>IF(ISNUMBER(
   IF(Criterios!B14="SI",(Datos!L18-Datos!V18)/Datos!V18,(Datos!L18+Datos!AF18-(Datos!V18+Datos!AN18))/(Datos!V18+Datos!AN18))
     ),IF(Criterios!B14="SI",(Datos!L18-Datos!V18)/Datos!V18,(Datos!L18+Datos!AF18-(Datos!V18+Datos!AN18))/(Datos!V18+Datos!AN18))," - ")</f>
        <v>0.31224565297817242</v>
      </c>
      <c r="F18" s="856">
        <f>IF(ISNUMBER((Datos!M18-Datos!W18)/Datos!W18),(Datos!M18-Datos!W18)/Datos!W18," - ")</f>
        <v>0.44047619047619047</v>
      </c>
      <c r="G18" s="857">
        <f>IF(ISNUMBER((Datos!N18-Datos!X18)/Datos!X18),(Datos!N18-Datos!X18)/Datos!X18," - ")</f>
        <v>0.10011248593925759</v>
      </c>
      <c r="H18" s="857">
        <f>IF(ISNUMBER(((NºAsuntos!G18/NºAsuntos!E18)-Datos!BD18)/Datos!BD18),((NºAsuntos!G18/NºAsuntos!E18)-Datos!BD18)/Datos!BD18," - ")</f>
        <v>0.36943901055944589</v>
      </c>
      <c r="I18" s="857">
        <f>IF(ISNUMBER(((NºAsuntos!I18/NºAsuntos!G18)-Datos!BE18)/Datos!BE18),((NºAsuntos!I18/NºAsuntos!G18)-Datos!BE18)/Datos!BE18," - ")</f>
        <v>2.0919451538032832E-2</v>
      </c>
      <c r="J18" s="857">
        <f>IF(ISNUMBER((('Resol  Asuntos'!D18/NºAsuntos!G18)-Datos!BF18)/Datos!BF18),(('Resol  Asuntos'!D18/NºAsuntos!G18)-Datos!BF18)/Datos!BF18," - ")</f>
        <v>0.12068206055547838</v>
      </c>
      <c r="K18" s="857">
        <f>IF(ISNUMBER((((NºAsuntos!C18+NºAsuntos!E18)/NºAsuntos!G18)-Datos!BG18)/Datos!BG18),(((NºAsuntos!C18+NºAsuntos!E18)/NºAsuntos!G18)-Datos!BG18)/Datos!BG18," - ")</f>
        <v>1.6663860804994192E-2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0.55504796710826865</v>
      </c>
      <c r="C19" s="802">
        <f>IF(ISNUMBER(
   IF(J_V="SI",(Datos!J19-Datos!T19)/Datos!T19,(Datos!J19+Datos!Z19-(Datos!T19+Datos!AH19))/(Datos!T19+Datos!AH19))
     ),IF(J_V="SI",(Datos!J19-Datos!T19)/Datos!T19,(Datos!J19+Datos!Z19-(Datos!T19+Datos!AH19))/(Datos!T19+Datos!AH19))," - ")</f>
        <v>0.72356396866840733</v>
      </c>
      <c r="D19" s="802">
        <f>IF(ISNUMBER(
   IF(J_V="SI",(Datos!K19-Datos!U19)/Datos!U19,(Datos!K19+Datos!AA19-(Datos!U19+Datos!AI19))/(Datos!U19+Datos!AI19))
     ),IF(J_V="SI",(Datos!K19-Datos!U19)/Datos!U19,(Datos!K19+Datos!AA19-(Datos!U19+Datos!AI19))/(Datos!U19+Datos!AI19))," - ")</f>
        <v>1.0329171396140748</v>
      </c>
      <c r="E19" s="802">
        <f>IF(ISNUMBER(
   IF(J_V="SI",(Datos!L19-Datos!V19)/Datos!V19,(Datos!L19+Datos!AB19-(Datos!V19+Datos!AJ19))/(Datos!V19+Datos!AJ19))
     ),IF(J_V="SI",(Datos!L19-Datos!V19)/Datos!V19,(Datos!L19+Datos!AB19-(Datos!V19+Datos!AJ19))/(Datos!V19+Datos!AJ19))," - ")</f>
        <v>0.44029105435868171</v>
      </c>
      <c r="F19" s="803">
        <f>IF(ISNUMBER((Datos!M19-Datos!W19)/Datos!W19),(Datos!M19-Datos!W19)/Datos!W19," - ")</f>
        <v>1.3105924596050269</v>
      </c>
      <c r="G19" s="804">
        <f>IF(ISNUMBER((Datos!N19-Datos!X19)/Datos!X19),(Datos!N19-Datos!X19)/Datos!X19," - ")</f>
        <v>0.57264957264957261</v>
      </c>
      <c r="H19" s="805">
        <f>IF(ISNUMBER((Tasas!B19-Datos!BD19)/Datos!BD19),(Tasas!B19-Datos!BD19)/Datos!BD19," - ")</f>
        <v>0.17948458924020558</v>
      </c>
      <c r="I19" s="806">
        <f>IF(ISNUMBER((Tasas!C19-Datos!BE19)/Datos!BE19),(Tasas!C19-Datos!BE19)/Datos!BE19," - ")</f>
        <v>-0.29151512066443408</v>
      </c>
      <c r="J19" s="807">
        <f>IF(ISNUMBER((Tasas!D19-Datos!BF19)/Datos!BF19),(Tasas!D19-Datos!BF19)/Datos!BF19," - ")</f>
        <v>-0.14679191103766803</v>
      </c>
      <c r="K19" s="807">
        <f>IF(ISNUMBER((Tasas!E19-Datos!BG19)/Datos!BG19),(Tasas!E19-Datos!BG19)/Datos!BG19," - ")</f>
        <v>-0.20869399663901722</v>
      </c>
    </row>
    <row r="20" spans="1:12">
      <c r="A20" s="411"/>
      <c r="B20" s="411"/>
      <c r="C20" s="411"/>
      <c r="D20" s="411"/>
      <c r="E20" s="411"/>
    </row>
    <row r="21" spans="1:12" ht="70.5" customHeight="1">
      <c r="A21" s="1226" t="s">
        <v>148</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YUh7Mth9xmW+CNMWewc9OCermJ5fyhLG5FrHDdMD1r4iVZpCMRYka293HfPHsrfGigsHYEdBjYrymitgdamGA==" saltValue="0w+rcDT0BbeXlHNlODR5S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LA RIOJA</v>
      </c>
    </row>
    <row r="3" spans="1:7" ht="19.5">
      <c r="A3" s="436" t="s">
        <v>12</v>
      </c>
      <c r="B3" s="391" t="str">
        <f>Criterios!A10 &amp;"  "&amp;Criterios!B10</f>
        <v>Provincias  LA RIOJA</v>
      </c>
    </row>
    <row r="4" spans="1:7" ht="11.25" customHeight="1" thickBot="1">
      <c r="B4" s="391" t="str">
        <f>Criterios!A11 &amp;"  "&amp;Criterios!B11</f>
        <v>Resumenes por Partidos Judiciales  LOGROÑO</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0.94155405405405401</v>
      </c>
      <c r="C9" s="443">
        <f>IF(ISNUMBER(NºAsuntos!I9/NºAsuntos!G9),NºAsuntos!I9/NºAsuntos!G9," - ")</f>
        <v>1.9494079655543595</v>
      </c>
      <c r="D9" s="444">
        <f>IF(ISNUMBER('Resol  Asuntos'!D9/NºAsuntos!G9),'Resol  Asuntos'!D9/NºAsuntos!G9," - ")</f>
        <v>0.26587728740581268</v>
      </c>
      <c r="E9" s="445">
        <f>IF(ISNUMBER((NºAsuntos!C9+NºAsuntos!E9)/NºAsuntos!G9),(NºAsuntos!C9+NºAsuntos!E9)/NºAsuntos!G9," - ")</f>
        <v>2.9612486544671688</v>
      </c>
      <c r="G9" s="463"/>
    </row>
    <row r="10" spans="1:7">
      <c r="A10" s="402" t="str">
        <f>Datos!A10</f>
        <v>Jdos. Violencia contra la mujer</v>
      </c>
      <c r="B10" s="442">
        <f>IF(ISNUMBER(NºAsuntos!G10/NºAsuntos!E10),NºAsuntos!G10/NºAsuntos!E10," - ")</f>
        <v>1</v>
      </c>
      <c r="C10" s="443">
        <f>IF(ISNUMBER(NºAsuntos!I10/NºAsuntos!G10),NºAsuntos!I10/NºAsuntos!G10," - ")</f>
        <v>3.6724137931034484</v>
      </c>
      <c r="D10" s="444">
        <f>IF(ISNUMBER('Resol  Asuntos'!D10/NºAsuntos!G10),'Resol  Asuntos'!D10/NºAsuntos!G10," - ")</f>
        <v>0.41379310344827586</v>
      </c>
      <c r="E10" s="445">
        <f>IF(ISNUMBER((NºAsuntos!C10+NºAsuntos!E10)/NºAsuntos!G10),(NºAsuntos!C10+NºAsuntos!E10)/NºAsuntos!G10," - ")</f>
        <v>4.6724137931034484</v>
      </c>
      <c r="G10" s="463"/>
    </row>
    <row r="11" spans="1:7">
      <c r="A11" s="402" t="str">
        <f>Datos!A11</f>
        <v xml:space="preserve">Jdos. Familia                                   </v>
      </c>
      <c r="B11" s="442">
        <f>IF(ISNUMBER(NºAsuntos!G11/NºAsuntos!E11),NºAsuntos!G11/NºAsuntos!E11," - ")</f>
        <v>1.1909547738693467</v>
      </c>
      <c r="C11" s="443">
        <f>IF(ISNUMBER(NºAsuntos!I11/NºAsuntos!G11),NºAsuntos!I11/NºAsuntos!G11," - ")</f>
        <v>1.9008438818565401</v>
      </c>
      <c r="D11" s="444">
        <f>IF(ISNUMBER('Resol  Asuntos'!D11/NºAsuntos!G11),'Resol  Asuntos'!D11/NºAsuntos!G11," - ")</f>
        <v>0.33544303797468356</v>
      </c>
      <c r="E11" s="445">
        <f>IF(ISNUMBER((NºAsuntos!C11+NºAsuntos!E11)/NºAsuntos!G11),(NºAsuntos!C11+NºAsuntos!E11)/NºAsuntos!G11," - ")</f>
        <v>2.9008438818565403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0.97160421545667452</v>
      </c>
      <c r="C13" s="859">
        <f>IF(ISNUMBER(NºAsuntos!I13/NºAsuntos!G13),NºAsuntos!I13/NºAsuntos!G13," - ")</f>
        <v>1.9728833986140404</v>
      </c>
      <c r="D13" s="860">
        <f>IF(ISNUMBER('Resol  Asuntos'!D13/NºAsuntos!G13),'Resol  Asuntos'!D13/NºAsuntos!G13," - ")</f>
        <v>0.27839710756251884</v>
      </c>
      <c r="E13" s="861">
        <f>IF(ISNUMBER((NºAsuntos!C13+NºAsuntos!E13)/NºAsuntos!G13),(NºAsuntos!C13+NºAsuntos!E13)/NºAsuntos!G13," - ")</f>
        <v>2.982826152455559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1.1337386018237081</v>
      </c>
      <c r="C15" s="443">
        <f>IF(ISNUMBER(NºAsuntos!I15/NºAsuntos!G15),NºAsuntos!I15/NºAsuntos!G15," - ")</f>
        <v>1.7088471849865952</v>
      </c>
      <c r="D15" s="444">
        <f>IF(ISNUMBER('Resol  Asuntos'!D15/NºAsuntos!G15),'Resol  Asuntos'!D15/NºAsuntos!G15," - ")</f>
        <v>0.17640750670241287</v>
      </c>
      <c r="E15" s="445">
        <f>IF(ISNUMBER((NºAsuntos!C15+NºAsuntos!E15)/NºAsuntos!G15),(NºAsuntos!C15+NºAsuntos!E15)/NºAsuntos!G15," - ")</f>
        <v>2.7045576407506702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0.85909090909090913</v>
      </c>
      <c r="C17" s="443">
        <f>IF(ISNUMBER(NºAsuntos!I17/NºAsuntos!G17),NºAsuntos!I17/NºAsuntos!G17," - ")</f>
        <v>1.9047619047619047</v>
      </c>
      <c r="D17" s="444">
        <f>IF(ISNUMBER('Resol  Asuntos'!D17/NºAsuntos!G17),'Resol  Asuntos'!D17/NºAsuntos!G17," - ")</f>
        <v>0.17989417989417988</v>
      </c>
      <c r="E17" s="445">
        <f>IF(ISNUMBER((NºAsuntos!C17+NºAsuntos!E17)/NºAsuntos!G17),(NºAsuntos!C17+NºAsuntos!E17)/NºAsuntos!G17," - ")</f>
        <v>2.9047619047619047</v>
      </c>
      <c r="G17" s="463"/>
    </row>
    <row r="18" spans="1:7" ht="14.25" thickTop="1" thickBot="1">
      <c r="A18" s="848" t="str">
        <f>Datos!A18</f>
        <v>TOTAL</v>
      </c>
      <c r="B18" s="858">
        <f>IF(ISNUMBER(NºAsuntos!G18/NºAsuntos!E18),NºAsuntos!G18/NºAsuntos!E18," - ")</f>
        <v>1.1013404825737265</v>
      </c>
      <c r="C18" s="859">
        <f>IF(ISNUMBER(NºAsuntos!I18/NºAsuntos!G18),NºAsuntos!I18/NºAsuntos!G18," - ")</f>
        <v>1.7268743914313534</v>
      </c>
      <c r="D18" s="862">
        <f>IF(ISNUMBER('Resol  Asuntos'!D18/NºAsuntos!G18),'Resol  Asuntos'!D18/NºAsuntos!G18," - ")</f>
        <v>0.17672833495618306</v>
      </c>
      <c r="E18" s="861">
        <f>IF(ISNUMBER((NºAsuntos!C18+NºAsuntos!E18)/NºAsuntos!G18),(NºAsuntos!C18+NºAsuntos!E18)/NºAsuntos!G18," - ")</f>
        <v>2.7229795520934763</v>
      </c>
      <c r="G18" s="463"/>
    </row>
    <row r="19" spans="1:7" ht="15.75" customHeight="1" thickTop="1" thickBot="1">
      <c r="A19" s="793" t="str">
        <f>Datos!A19</f>
        <v>TOTAL JURISDICCIONES</v>
      </c>
      <c r="B19" s="808">
        <f>IF(ISNUMBER(NºAsuntos!G19/NºAsuntos!E19),NºAsuntos!G19/NºAsuntos!E19," - ")</f>
        <v>1.0174209430032191</v>
      </c>
      <c r="C19" s="809">
        <f>IF(ISNUMBER(NºAsuntos!I19/NºAsuntos!G19),NºAsuntos!I19/NºAsuntos!G19," - ")</f>
        <v>1.8788386376326074</v>
      </c>
      <c r="D19" s="810">
        <f>IF(ISNUMBER('Resol  Asuntos'!D19/NºAsuntos!G19),'Resol  Asuntos'!D19/NºAsuntos!G19," - ")</f>
        <v>0.23953098827470687</v>
      </c>
      <c r="E19" s="811">
        <f>IF(ISNUMBER((NºAsuntos!C19+NºAsuntos!E19)/NºAsuntos!G19),(NºAsuntos!C19+NºAsuntos!E19)/NºAsuntos!G19," - ")</f>
        <v>2.8834915317327376</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L1Irx55M2rmrvL2wpvAEQyt/Y6Kxi39NiDo0WRRa0zqyBDENTPRcr2nrYedypILlOGUJT+CvY3a+dPFcQKfzg==" saltValue="vYOpjVtnQLZPnxg0FkDpz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LA RIOJA</v>
      </c>
      <c r="G2" s="263"/>
      <c r="H2" s="262"/>
      <c r="I2" s="262"/>
      <c r="J2" s="262"/>
      <c r="K2" s="262"/>
      <c r="L2" s="262" t="str">
        <f>Criterios!A10 &amp;"  "&amp;Criterios!B10</f>
        <v>Provincias  LA RIOJA</v>
      </c>
      <c r="N2" s="262" t="str">
        <f>Criterios!A11 &amp;"  "&amp;Criterios!B11</f>
        <v>Resumenes por Partidos Judiciales  LOGROÑO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347</v>
      </c>
      <c r="B5" s="272"/>
      <c r="C5" s="1286" t="str">
        <f>"Año:  " &amp;Criterios!B$5 &amp; "          Trimestre   " &amp;Criterios!D$5 &amp; " al " &amp;Criterios!D$6</f>
        <v>Año:  2024          Trimestre   1 al 1</v>
      </c>
      <c r="D5" s="1256" t="s">
        <v>372</v>
      </c>
      <c r="E5" s="1256" t="s">
        <v>314</v>
      </c>
      <c r="F5" s="1288" t="s">
        <v>402</v>
      </c>
      <c r="G5" s="1291" t="s">
        <v>128</v>
      </c>
      <c r="H5" s="1247" t="s">
        <v>156</v>
      </c>
      <c r="I5" s="1247" t="s">
        <v>160</v>
      </c>
      <c r="J5" s="1247" t="s">
        <v>161</v>
      </c>
      <c r="K5" s="1247" t="s">
        <v>403</v>
      </c>
      <c r="L5" s="1247" t="s">
        <v>582</v>
      </c>
      <c r="M5" s="1247" t="s">
        <v>318</v>
      </c>
      <c r="N5" s="1247" t="s">
        <v>373</v>
      </c>
      <c r="O5" s="1247" t="s">
        <v>405</v>
      </c>
      <c r="P5" s="1247" t="s">
        <v>159</v>
      </c>
      <c r="Q5" s="1247" t="s">
        <v>41</v>
      </c>
      <c r="R5" s="1262" t="s">
        <v>162</v>
      </c>
      <c r="S5" s="1265" t="s">
        <v>165</v>
      </c>
      <c r="T5" s="1253" t="s">
        <v>166</v>
      </c>
      <c r="U5" s="1250" t="s">
        <v>167</v>
      </c>
      <c r="V5" s="1277" t="s">
        <v>316</v>
      </c>
      <c r="W5" s="1294" t="s">
        <v>168</v>
      </c>
      <c r="X5" s="1297" t="s">
        <v>169</v>
      </c>
      <c r="Y5" s="1297" t="s">
        <v>170</v>
      </c>
      <c r="Z5" s="1280" t="s">
        <v>171</v>
      </c>
      <c r="AA5" s="1268" t="s">
        <v>172</v>
      </c>
      <c r="AB5" s="1247" t="s">
        <v>173</v>
      </c>
      <c r="AC5" s="1247" t="s">
        <v>174</v>
      </c>
      <c r="AD5" s="1300" t="s">
        <v>175</v>
      </c>
      <c r="AE5" s="1256" t="s">
        <v>178</v>
      </c>
      <c r="AF5" s="1271" t="s">
        <v>176</v>
      </c>
      <c r="AG5" s="1247" t="s">
        <v>177</v>
      </c>
      <c r="AH5" s="1262" t="s">
        <v>196</v>
      </c>
      <c r="AI5" s="1268" t="s">
        <v>179</v>
      </c>
      <c r="AJ5" s="1274" t="s">
        <v>243</v>
      </c>
      <c r="AK5" s="1259" t="s">
        <v>244</v>
      </c>
      <c r="AL5" s="1256" t="s">
        <v>245</v>
      </c>
      <c r="AM5" s="1256" t="s">
        <v>355</v>
      </c>
      <c r="AN5" s="1256" t="s">
        <v>246</v>
      </c>
      <c r="AO5" s="1256" t="s">
        <v>247</v>
      </c>
      <c r="AP5" s="1256" t="s">
        <v>297</v>
      </c>
      <c r="AQ5" s="1256" t="s">
        <v>180</v>
      </c>
      <c r="AR5" s="1256" t="s">
        <v>181</v>
      </c>
      <c r="AS5" s="1256" t="s">
        <v>384</v>
      </c>
      <c r="AT5" s="1256" t="s">
        <v>290</v>
      </c>
      <c r="AU5" s="1256" t="s">
        <v>291</v>
      </c>
      <c r="AV5" s="1256" t="s">
        <v>329</v>
      </c>
      <c r="AW5" s="1256" t="s">
        <v>830</v>
      </c>
      <c r="AX5" s="1256" t="s">
        <v>317</v>
      </c>
      <c r="AY5" s="1256" t="s">
        <v>747</v>
      </c>
      <c r="AZ5" s="1256" t="s">
        <v>748</v>
      </c>
      <c r="BF5" s="1245" t="s">
        <v>197</v>
      </c>
      <c r="BG5" s="1246"/>
      <c r="BH5" s="1245" t="s">
        <v>198</v>
      </c>
      <c r="BI5" s="1246"/>
      <c r="BJ5" s="1245" t="s">
        <v>199</v>
      </c>
      <c r="BK5" s="1246"/>
      <c r="BL5" s="1245" t="s">
        <v>200</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157</v>
      </c>
      <c r="BG6" s="1243" t="s">
        <v>158</v>
      </c>
      <c r="BH6" s="1243" t="s">
        <v>157</v>
      </c>
      <c r="BI6" s="1243" t="s">
        <v>158</v>
      </c>
      <c r="BJ6" s="1243" t="s">
        <v>157</v>
      </c>
      <c r="BK6" s="1243" t="s">
        <v>158</v>
      </c>
      <c r="BL6" s="1243" t="s">
        <v>157</v>
      </c>
      <c r="BM6" s="1243" t="s">
        <v>158</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242</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740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558</v>
      </c>
      <c r="Y9" s="334">
        <f>SUM(W9:X9)</f>
        <v>558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7830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741</v>
      </c>
      <c r="AJ9" s="229" t="str">
        <f>IF(ISNUMBER(Datos!BW9),Datos!BW9," - ")</f>
        <v xml:space="preserve"> - </v>
      </c>
      <c r="AK9" s="228" t="str">
        <f>IF(ISNUMBER(Datos!BX9),Datos!BX9," - ")</f>
        <v xml:space="preserve"> - </v>
      </c>
      <c r="AL9" s="243">
        <f>IF(ISNUMBER(NºAsuntos!G9/NºAsuntos!E9),NºAsuntos!G9/NºAsuntos!E9," - ")</f>
        <v>0.94155405405405401</v>
      </c>
      <c r="AM9" s="260">
        <f>IF(ISNUMBER(((NºAsuntos!I9/NºAsuntos!G9)*11)/factor_trimestre),((NºAsuntos!I9/NºAsuntos!G9)*11)/factor_trimestre," - ")</f>
        <v>5.8482238966630788</v>
      </c>
      <c r="AN9" s="244">
        <f>IF(ISNUMBER('Resol  Asuntos'!D9/NºAsuntos!G9),'Resol  Asuntos'!D9/NºAsuntos!G9," - ")</f>
        <v>0.26587728740581268</v>
      </c>
      <c r="AO9" s="245">
        <f>IF(ISNUMBER((NºAsuntos!C9+NºAsuntos!E9)/NºAsuntos!G9),(NºAsuntos!C9+NºAsuntos!E9)/NºAsuntos!G9," - ")</f>
        <v>2.9612486544671688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213</v>
      </c>
      <c r="G10" s="333">
        <f>IF(ISNUMBER(Datos!I10),Datos!I10," - ")</f>
        <v>213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58</v>
      </c>
      <c r="X10" s="226">
        <f>IF(ISNUMBER(Datos!Q10),Datos!Q10," - ")</f>
        <v>12</v>
      </c>
      <c r="Y10" s="334">
        <f t="shared" ref="Y10:Y12" si="0">SUM(W10:X10)</f>
        <v>70</v>
      </c>
      <c r="Z10" s="335" t="str">
        <f>IF(ISNUMBER(Datos!CC10),Datos!CC10," - ")</f>
        <v xml:space="preserve"> - </v>
      </c>
      <c r="AA10" s="332">
        <f>IF(ISNUMBER(Datos!L10),Datos!L10,"-")</f>
        <v>213</v>
      </c>
      <c r="AB10" s="334">
        <f>IF(ISNUMBER(Datos!R10),Datos!R10," - ")</f>
        <v>180</v>
      </c>
      <c r="AC10" s="334">
        <f t="shared" ref="AC10:AC12" si="1">IF(ISNUMBER(AA10+AB10),AA10+AB10," - ")</f>
        <v>393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24</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11.017241379310347</v>
      </c>
      <c r="AN10" s="244">
        <f>IF(ISNUMBER('Resol  Asuntos'!D10/NºAsuntos!G10),'Resol  Asuntos'!D10/NºAsuntos!G10," - ")</f>
        <v>0.41379310344827586</v>
      </c>
      <c r="AO10" s="245">
        <f>IF(ISNUMBER((NºAsuntos!C10+NºAsuntos!E10)/NºAsuntos!G10),(NºAsuntos!C10+NºAsuntos!E10)/NºAsuntos!G10," - ")</f>
        <v>4.6724137931034484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35</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25</v>
      </c>
      <c r="Y11" s="334">
        <f t="shared" si="0"/>
        <v>25</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630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159</v>
      </c>
      <c r="AJ11" s="231" t="str">
        <f>IF(ISNUMBER(Datos!BW11),Datos!BW11," - ")</f>
        <v xml:space="preserve"> - </v>
      </c>
      <c r="AK11" s="232" t="str">
        <f>IF(ISNUMBER(Datos!BX11),Datos!BX11," - ")</f>
        <v xml:space="preserve"> - </v>
      </c>
      <c r="AL11" s="243">
        <f>IF(ISNUMBER(NºAsuntos!G11/NºAsuntos!E11),NºAsuntos!G11/NºAsuntos!E11," - ")</f>
        <v>1.1909547738693467</v>
      </c>
      <c r="AM11" s="260">
        <f>IF(ISNUMBER(((NºAsuntos!I11/NºAsuntos!G11)*11)/factor_trimestre),((NºAsuntos!I11/NºAsuntos!G11)*11)/factor_trimestre," - ")</f>
        <v>5.7025316455696204</v>
      </c>
      <c r="AN11" s="244">
        <f>IF(ISNUMBER('Resol  Asuntos'!D11/NºAsuntos!G11),'Resol  Asuntos'!D11/NºAsuntos!G11," - ")</f>
        <v>0.33544303797468356</v>
      </c>
      <c r="AO11" s="245">
        <f>IF(ISNUMBER((NºAsuntos!C11+NºAsuntos!E11)/NºAsuntos!G11),(NºAsuntos!C11+NºAsuntos!E11)/NºAsuntos!G11," - ")</f>
        <v>2.9008438818565403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v>
      </c>
      <c r="Y12" s="334">
        <f t="shared" si="0"/>
        <v>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213</v>
      </c>
      <c r="G13" s="866">
        <f t="shared" si="3"/>
        <v>213</v>
      </c>
      <c r="H13" s="865">
        <f t="shared" si="3"/>
        <v>0</v>
      </c>
      <c r="I13" s="867">
        <f t="shared" si="3"/>
        <v>0</v>
      </c>
      <c r="J13" s="867">
        <f t="shared" si="3"/>
        <v>0</v>
      </c>
      <c r="K13" s="867">
        <f t="shared" si="3"/>
        <v>0</v>
      </c>
      <c r="L13" s="867">
        <f t="shared" si="3"/>
        <v>788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58</v>
      </c>
      <c r="X13" s="867">
        <f t="shared" si="4"/>
        <v>597</v>
      </c>
      <c r="Y13" s="868">
        <f t="shared" si="4"/>
        <v>655</v>
      </c>
      <c r="Z13" s="868">
        <f t="shared" si="4"/>
        <v>0</v>
      </c>
      <c r="AA13" s="868">
        <f t="shared" si="4"/>
        <v>213</v>
      </c>
      <c r="AB13" s="868">
        <f t="shared" si="4"/>
        <v>8689</v>
      </c>
      <c r="AC13" s="868">
        <f t="shared" si="4"/>
        <v>393</v>
      </c>
      <c r="AD13" s="868">
        <f t="shared" si="4"/>
        <v>0</v>
      </c>
      <c r="AE13" s="872">
        <f t="shared" si="4"/>
        <v>0</v>
      </c>
      <c r="AF13" s="865">
        <f t="shared" si="4"/>
        <v>0</v>
      </c>
      <c r="AG13" s="873">
        <f t="shared" si="4"/>
        <v>0</v>
      </c>
      <c r="AH13" s="870">
        <f t="shared" si="4"/>
        <v>0</v>
      </c>
      <c r="AI13" s="865">
        <f t="shared" si="4"/>
        <v>924</v>
      </c>
      <c r="AJ13" s="867">
        <f t="shared" si="4"/>
        <v>0</v>
      </c>
      <c r="AK13" s="870">
        <f>SUBTOTAL(9,AK9:AK12)</f>
        <v>0</v>
      </c>
      <c r="AL13" s="874">
        <f>IF(ISNUMBER(NºAsuntos!G13/NºAsuntos!E13),NºAsuntos!G13/NºAsuntos!E13," - ")</f>
        <v>0.97160421545667452</v>
      </c>
      <c r="AM13" s="874">
        <f>IF(ISNUMBER(((NºAsuntos!I13/NºAsuntos!G13)*11)/factor_trimestre),((NºAsuntos!I13/NºAsuntos!G13)*11)/factor_trimestre," - ")</f>
        <v>5.9186501958421216</v>
      </c>
      <c r="AN13" s="875">
        <f>IF(ISNUMBER('Resol  Asuntos'!D13/NºAsuntos!G13),'Resol  Asuntos'!D13/NºAsuntos!G13," - ")</f>
        <v>0.27839710756251884</v>
      </c>
      <c r="AO13" s="876">
        <f>IF(ISNUMBER((NºAsuntos!C13+NºAsuntos!E13)/NºAsuntos!G13),(NºAsuntos!C13+NºAsuntos!E13)/NºAsuntos!G13," - ")</f>
        <v>2.982826152455559</v>
      </c>
      <c r="AP13" s="877" t="str">
        <f t="shared" si="2"/>
        <v xml:space="preserve"> - </v>
      </c>
      <c r="AQ13" s="877">
        <f>IF(ISNUMBER((H13-W13+K13)/(F13)),(H13-W13+K13)/(F13)," - ")</f>
        <v>-0.27230046948356806</v>
      </c>
      <c r="AR13" s="878">
        <f>IF(ISNUMBER((Datos!P13-Datos!Q13)/(Datos!R13-Datos!P13+Datos!Q13)),(Datos!P13-Datos!Q13)/(Datos!R13-Datos!P13+Datos!Q13)," - ")</f>
        <v>2.2475876676865146E-2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392</v>
      </c>
      <c r="C15" s="160" t="str">
        <f>Datos!A15</f>
        <v xml:space="preserve">Jdos. Instrucción                               </v>
      </c>
      <c r="D15" s="160"/>
      <c r="E15" s="1025">
        <f>IF(ISNUMBER(Datos!AQ15),Datos!AQ15," - ")</f>
        <v>3</v>
      </c>
      <c r="F15" s="225">
        <f>IF(ISNUMBER(AA15+W15-Datos!J15-K15),AA15+W15-Datos!J15-K15," - ")</f>
        <v>3407</v>
      </c>
      <c r="G15" s="333">
        <f>IF(ISNUMBER(IF(D_I="SI",Datos!I15,Datos!I15+Datos!AC15)),IF(D_I="SI",Datos!I15,Datos!I15+Datos!AC15)," - ")</f>
        <v>3399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72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1865</v>
      </c>
      <c r="X15" s="226">
        <f>IF(ISNUMBER(Datos!Q15),Datos!Q15," - ")</f>
        <v>82</v>
      </c>
      <c r="Y15" s="334">
        <f>SUM(W15)</f>
        <v>1865</v>
      </c>
      <c r="Z15" s="335" t="str">
        <f>IF(ISNUMBER(Datos!CC15),Datos!CC15," - ")</f>
        <v xml:space="preserve"> - </v>
      </c>
      <c r="AA15" s="332">
        <f>IF(ISNUMBER(IF(D_I="SI",Datos!L15,Datos!L15+Datos!AF15)),IF(D_I="SI",Datos!L15,Datos!L15+Datos!AF15)," - ")</f>
        <v>3187</v>
      </c>
      <c r="AB15" s="334">
        <f>IF(ISNUMBER(Datos!R15),Datos!R15," - ")</f>
        <v>313</v>
      </c>
      <c r="AC15" s="334">
        <f t="shared" ref="AC15:AC17" si="6">IF(ISNUMBER(AA15+AB15),AA15+AB15," - ")</f>
        <v>3500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329</v>
      </c>
      <c r="AJ15" s="231" t="str">
        <f>IF(ISNUMBER(Datos!BW15),Datos!BW15," - ")</f>
        <v xml:space="preserve"> - </v>
      </c>
      <c r="AK15" s="232" t="str">
        <f>IF(ISNUMBER(Datos!BX15),Datos!BX15," - ")</f>
        <v xml:space="preserve"> - </v>
      </c>
      <c r="AL15" s="243">
        <f>IF(ISNUMBER(NºAsuntos!G15/NºAsuntos!E15),NºAsuntos!G15/NºAsuntos!E15," - ")</f>
        <v>1.1337386018237081</v>
      </c>
      <c r="AM15" s="260">
        <f>IF(ISNUMBER(((NºAsuntos!I15/NºAsuntos!G15)*11)/factor_trimestre),((NºAsuntos!I15/NºAsuntos!G15)*11)/factor_trimestre," - ")</f>
        <v>5.1265415549597853</v>
      </c>
      <c r="AN15" s="244">
        <f>IF(ISNUMBER('Resol  Asuntos'!D15/NºAsuntos!G15),'Resol  Asuntos'!D15/NºAsuntos!G15," - ")</f>
        <v>0.17640750670241287</v>
      </c>
      <c r="AO15" s="245">
        <f>IF(ISNUMBER((NºAsuntos!C15+NºAsuntos!E15)/NºAsuntos!G15),(NºAsuntos!C15+NºAsuntos!E15)/NºAsuntos!G15," - ")</f>
        <v>2.7045576407506702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329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189</v>
      </c>
      <c r="X17" s="226">
        <f>IF(ISNUMBER(Datos!Q17),Datos!Q17," - ")</f>
        <v>0</v>
      </c>
      <c r="Y17" s="334">
        <f t="shared" si="7"/>
        <v>189</v>
      </c>
      <c r="Z17" s="335" t="str">
        <f>IF(ISNUMBER(Datos!CC17),Datos!CC17," - ")</f>
        <v xml:space="preserve"> - </v>
      </c>
      <c r="AA17" s="332">
        <f>IF(ISNUMBER(Datos!L17),Datos!L17,"-")</f>
        <v>360</v>
      </c>
      <c r="AB17" s="334">
        <f>IF(ISNUMBER(Datos!R17),Datos!R17," - ")</f>
        <v>5</v>
      </c>
      <c r="AC17" s="334">
        <f t="shared" si="6"/>
        <v>365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34</v>
      </c>
      <c r="AJ17" s="231" t="str">
        <f>IF(ISNUMBER(Datos!BW17),Datos!BW17," - ")</f>
        <v xml:space="preserve"> - </v>
      </c>
      <c r="AK17" s="232" t="str">
        <f>IF(ISNUMBER(Datos!BX17),Datos!BX17," - ")</f>
        <v xml:space="preserve"> - </v>
      </c>
      <c r="AL17" s="243">
        <f>IF(ISNUMBER(NºAsuntos!G17/NºAsuntos!E17),NºAsuntos!G17/NºAsuntos!E17," - ")</f>
        <v>0.85909090909090913</v>
      </c>
      <c r="AM17" s="260">
        <f>IF(ISNUMBER(((NºAsuntos!I17/NºAsuntos!G17)*11)/factor_trimestre),((NºAsuntos!I17/NºAsuntos!G17)*11)/factor_trimestre," - ")</f>
        <v>5.7142857142857144</v>
      </c>
      <c r="AN17" s="244">
        <f>IF(ISNUMBER('Resol  Asuntos'!D17/NºAsuntos!G17),'Resol  Asuntos'!D17/NºAsuntos!G17," - ")</f>
        <v>0.17989417989417988</v>
      </c>
      <c r="AO17" s="245">
        <f>IF(ISNUMBER((NºAsuntos!C17+NºAsuntos!E17)/NºAsuntos!G17),(NºAsuntos!C17+NºAsuntos!E17)/NºAsuntos!G17," - ")</f>
        <v>2.9047619047619047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3407</v>
      </c>
      <c r="G18" s="866">
        <f>SUBTOTAL(9,G15:G17)</f>
        <v>3728</v>
      </c>
      <c r="H18" s="865">
        <f t="shared" ref="H18:O18" si="10">SUBTOTAL(9,H14:H17)</f>
        <v>0</v>
      </c>
      <c r="I18" s="867">
        <f t="shared" si="10"/>
        <v>0</v>
      </c>
      <c r="J18" s="867">
        <f t="shared" si="10"/>
        <v>0</v>
      </c>
      <c r="K18" s="867">
        <f t="shared" si="10"/>
        <v>0</v>
      </c>
      <c r="L18" s="867">
        <f t="shared" si="10"/>
        <v>72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2054</v>
      </c>
      <c r="X18" s="867">
        <f t="shared" si="11"/>
        <v>82</v>
      </c>
      <c r="Y18" s="868">
        <f t="shared" si="11"/>
        <v>2054</v>
      </c>
      <c r="Z18" s="868">
        <f t="shared" si="11"/>
        <v>0</v>
      </c>
      <c r="AA18" s="868">
        <f t="shared" si="11"/>
        <v>3547</v>
      </c>
      <c r="AB18" s="868">
        <f t="shared" si="11"/>
        <v>318</v>
      </c>
      <c r="AC18" s="868">
        <f t="shared" si="11"/>
        <v>3865</v>
      </c>
      <c r="AD18" s="868">
        <f t="shared" si="11"/>
        <v>0</v>
      </c>
      <c r="AE18" s="872">
        <f t="shared" si="11"/>
        <v>0</v>
      </c>
      <c r="AF18" s="865">
        <f t="shared" si="11"/>
        <v>0</v>
      </c>
      <c r="AG18" s="873">
        <f t="shared" si="11"/>
        <v>0</v>
      </c>
      <c r="AH18" s="870">
        <f t="shared" si="11"/>
        <v>0</v>
      </c>
      <c r="AI18" s="865">
        <f t="shared" si="11"/>
        <v>363</v>
      </c>
      <c r="AJ18" s="867">
        <f t="shared" si="11"/>
        <v>0</v>
      </c>
      <c r="AK18" s="870">
        <f t="shared" si="11"/>
        <v>0</v>
      </c>
      <c r="AL18" s="874">
        <f>IF(ISNUMBER(NºAsuntos!G18/NºAsuntos!E18),NºAsuntos!G18/NºAsuntos!E18," - ")</f>
        <v>1.1013404825737265</v>
      </c>
      <c r="AM18" s="874">
        <f>IF(ISNUMBER(((NºAsuntos!I18/NºAsuntos!G18)*11)/factor_trimestre),((NºAsuntos!I18/NºAsuntos!G18)*11)/factor_trimestre," - ")</f>
        <v>5.1806231742940607</v>
      </c>
      <c r="AN18" s="875">
        <f>IF(ISNUMBER('Resol  Asuntos'!D18/NºAsuntos!G18),'Resol  Asuntos'!D18/NºAsuntos!G18," - ")</f>
        <v>0.17672833495618306</v>
      </c>
      <c r="AO18" s="876">
        <f>IF(ISNUMBER((NºAsuntos!C18+NºAsuntos!E18)/NºAsuntos!G18),(NºAsuntos!C18+NºAsuntos!E18)/NºAsuntos!G18," - ")</f>
        <v>2.7229795520934763</v>
      </c>
      <c r="AP18" s="877" t="str">
        <f t="shared" si="2"/>
        <v xml:space="preserve"> - </v>
      </c>
      <c r="AQ18" s="877">
        <f>IF(ISNUMBER((H18-W18+K18)/(F18)),(H18-W18+K18)/(F18)," - ")</f>
        <v>-0.6028764308776049</v>
      </c>
      <c r="AR18" s="878">
        <f>IF(ISNUMBER((Datos!P18-Datos!Q18)/(Datos!R18-Datos!P18+Datos!Q18)),(Datos!P18-Datos!Q18)/(Datos!R18-Datos!P18+Datos!Q18)," - ")</f>
        <v>-3.048780487804878E-2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3620</v>
      </c>
      <c r="G19" s="821">
        <f t="shared" si="13"/>
        <v>3941</v>
      </c>
      <c r="H19" s="820">
        <f t="shared" si="13"/>
        <v>0</v>
      </c>
      <c r="I19" s="822">
        <f t="shared" si="13"/>
        <v>0</v>
      </c>
      <c r="J19" s="822">
        <f t="shared" si="13"/>
        <v>0</v>
      </c>
      <c r="K19" s="881">
        <f t="shared" si="13"/>
        <v>0</v>
      </c>
      <c r="L19" s="822">
        <f t="shared" si="13"/>
        <v>860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2112</v>
      </c>
      <c r="X19" s="821">
        <f t="shared" si="14"/>
        <v>679</v>
      </c>
      <c r="Y19" s="828">
        <f t="shared" si="14"/>
        <v>2709</v>
      </c>
      <c r="Z19" s="828">
        <f t="shared" si="14"/>
        <v>0</v>
      </c>
      <c r="AA19" s="828">
        <f t="shared" si="14"/>
        <v>3760</v>
      </c>
      <c r="AB19" s="828">
        <f t="shared" si="14"/>
        <v>9007</v>
      </c>
      <c r="AC19" s="828">
        <f t="shared" si="14"/>
        <v>4258</v>
      </c>
      <c r="AD19" s="828">
        <f t="shared" si="14"/>
        <v>0</v>
      </c>
      <c r="AE19" s="830">
        <f t="shared" si="14"/>
        <v>0</v>
      </c>
      <c r="AF19" s="831">
        <f t="shared" si="14"/>
        <v>0</v>
      </c>
      <c r="AG19" s="832">
        <f t="shared" si="14"/>
        <v>0</v>
      </c>
      <c r="AH19" s="830">
        <f t="shared" si="14"/>
        <v>0</v>
      </c>
      <c r="AI19" s="820">
        <f t="shared" si="14"/>
        <v>1287</v>
      </c>
      <c r="AJ19" s="820">
        <f t="shared" si="14"/>
        <v>0</v>
      </c>
      <c r="AK19" s="830">
        <f t="shared" si="14"/>
        <v>0</v>
      </c>
      <c r="AL19" s="884">
        <f>IF(ISNUMBER(NºAsuntos!G19/NºAsuntos!E19),NºAsuntos!G19/NºAsuntos!E19," - ")</f>
        <v>1.0174209430032191</v>
      </c>
      <c r="AM19" s="885">
        <f>IF(ISNUMBER(((NºAsuntos!I19/NºAsuntos!G19)*11)/factor_trimestre),((NºAsuntos!I19/NºAsuntos!G19)*11)/factor_trimestre," - ")</f>
        <v>5.6365159128978224</v>
      </c>
      <c r="AN19" s="885">
        <f>IF(ISNUMBER('Resol  Asuntos'!D19/NºAsuntos!G19),'Resol  Asuntos'!D19/NºAsuntos!G19," - ")</f>
        <v>0.23953098827470687</v>
      </c>
      <c r="AO19" s="886">
        <f>IF(ISNUMBER((NºAsuntos!C19+NºAsuntos!E19)/NºAsuntos!G19),(NºAsuntos!C19+NºAsuntos!E19)/NºAsuntos!G19," - ")</f>
        <v>2.8834915317327376</v>
      </c>
      <c r="AP19" s="887" t="str">
        <f t="shared" si="2"/>
        <v xml:space="preserve"> - </v>
      </c>
      <c r="AQ19" s="888">
        <f>IF(OR(ISNUMBER(FIND("01",Criterios!A8,1)),ISNUMBER(FIND("02",Criterios!A8,1)),ISNUMBER(FIND("03",Criterios!A8,1)),ISNUMBER(FIND("04",Criterios!A8,1))),(I19-W19+K19)/(F19-K19),(H19-W19+K19)/(F19-K19))</f>
        <v>-0.5834254143646409</v>
      </c>
      <c r="AR19" s="889">
        <f>IF(ISNUMBER((Datos!P19-Datos!Q19)/(Datos!R19-Datos!P19+Datos!Q19)),(Datos!P19-Datos!Q19)/(Datos!R19-Datos!P19+Datos!Q19)," - ")</f>
        <v>2.0507591207795151E-2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1576.4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2.8284271247461903</v>
      </c>
      <c r="F21" s="252">
        <f>IF(ISNUMBER(STDEV(F8:F18)),STDEV(F8:F18),"-")</f>
        <v>1844.0567597916647</v>
      </c>
      <c r="G21" s="253">
        <f>IF(ISNUMBER(STDEV(G8:G18)),STDEV(G8:G18),"-")</f>
        <v>1818.3082246967922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1021.1702600448174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346.75959148337091</v>
      </c>
      <c r="AJ21" s="252">
        <f t="shared" si="18"/>
        <v>0</v>
      </c>
      <c r="AK21" s="254">
        <f t="shared" si="18"/>
        <v>0</v>
      </c>
      <c r="AL21" s="249">
        <f t="shared" si="18"/>
        <v>0.117672326890451</v>
      </c>
      <c r="AM21" s="250">
        <f t="shared" si="18"/>
        <v>2.0779855014312072</v>
      </c>
      <c r="AN21" s="250">
        <f t="shared" si="18"/>
        <v>9.1332426698250424E-2</v>
      </c>
      <c r="AO21" s="251">
        <f t="shared" si="18"/>
        <v>0.69264810911670338</v>
      </c>
      <c r="AP21" s="291" t="str">
        <f t="shared" si="18"/>
        <v>-</v>
      </c>
      <c r="AQ21" s="292">
        <f t="shared" si="18"/>
        <v>0.23375250399898589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okb0EApcFwHTTkgYMuFs3+iaqDvSGrWG6ExaDGPzwm0oZtjZiYcJ97urxhEGfWpFWmJ8anLtBcIqTGpdSdlPPw==" saltValue="hWFpz7raefIRFbgXo94lo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LA RIOJA</v>
      </c>
      <c r="E2" s="263"/>
    </row>
    <row r="3" spans="2:20" ht="17.25" customHeight="1">
      <c r="C3" s="267"/>
      <c r="D3" s="262" t="str">
        <f>Criterios!A10 &amp;"  "&amp;Criterios!B10</f>
        <v>Provincias  LA RIOJA</v>
      </c>
      <c r="E3" s="263"/>
    </row>
    <row r="4" spans="2:20" ht="17.25" customHeight="1" thickBot="1">
      <c r="D4" s="262" t="str">
        <f>Criterios!A11 &amp;"  "&amp;Criterios!B11</f>
        <v>Resumenes por Partidos Judiciales  LOGROÑO</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273</v>
      </c>
      <c r="O5" s="162"/>
      <c r="P5" s="162"/>
      <c r="Q5" s="171" t="s">
        <v>274</v>
      </c>
      <c r="R5" s="171"/>
      <c r="S5" s="169"/>
      <c r="T5" s="169"/>
    </row>
    <row r="6" spans="2:20" ht="12.75" customHeight="1">
      <c r="B6" s="273"/>
      <c r="C6" s="1287"/>
      <c r="D6" s="1275"/>
      <c r="E6" s="1317"/>
      <c r="F6" s="1314"/>
      <c r="G6" s="1311"/>
      <c r="H6" s="1308"/>
      <c r="I6" s="1272"/>
      <c r="J6" s="1301"/>
      <c r="K6" s="1263"/>
      <c r="M6" s="1303" t="s">
        <v>289</v>
      </c>
      <c r="N6" s="1303" t="s">
        <v>270</v>
      </c>
      <c r="O6" s="1303" t="s">
        <v>271</v>
      </c>
      <c r="P6" s="1303" t="s">
        <v>272</v>
      </c>
      <c r="Q6" s="1303" t="s">
        <v>289</v>
      </c>
      <c r="R6" s="1303" t="s">
        <v>270</v>
      </c>
      <c r="S6" s="1303" t="s">
        <v>271</v>
      </c>
      <c r="T6" s="1303" t="s">
        <v>272</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2.0368852459016393</v>
      </c>
      <c r="I9" s="350">
        <f>IF(ISNUMBER((Tasas!C9-Datos!BE9)/Datos!BE9),(Tasas!C9-Datos!BE9)/Datos!BE9," - ")</f>
        <v>-0.53513653345405487</v>
      </c>
      <c r="J9" s="349">
        <f>IF(ISNUMBER((Tasas!D9-Datos!BF9)/Datos!BF9),(Tasas!D9-Datos!BF9)/Datos!BF9," - ")</f>
        <v>-0.34592488401764937</v>
      </c>
      <c r="K9" s="351">
        <f>IF(ISNUMBER((Tasas!E9-Datos!BG9)/Datos!BG9),(Tasas!E9-Datos!BG9)/Datos!BG9," - ")</f>
        <v>-0.42981708828714182</v>
      </c>
      <c r="M9" t="e">
        <f>IF(Monitorios="SI",Datos!CE9,0)</f>
        <v>#REF!</v>
      </c>
      <c r="N9" t="e">
        <f>IF(Monitorios="SI",Datos!CF9,0)</f>
        <v>#REF!</v>
      </c>
      <c r="O9" t="e">
        <f>IF(Monitorios="SI",Datos!CG9,0)</f>
        <v>#REF!</v>
      </c>
      <c r="P9" t="e">
        <f>IF(Monitorios="SI",Datos!CH9,0)</f>
        <v>#REF!</v>
      </c>
      <c r="Q9">
        <f>IF(J_V="SI",0,Datos!AG9)</f>
        <v>54</v>
      </c>
      <c r="R9">
        <f>IF(J_V="SI",0,Datos!AH9)</f>
        <v>26</v>
      </c>
      <c r="S9">
        <f>IF(J_V="SI",0,Datos!AI9)</f>
        <v>23</v>
      </c>
      <c r="T9">
        <f>IF(J_V="SI",0,Datos!AJ9)</f>
        <v>57</v>
      </c>
    </row>
    <row r="10" spans="2:20" ht="14.25">
      <c r="B10" s="275" t="s">
        <v>242</v>
      </c>
      <c r="C10" s="7" t="str">
        <f>Datos!A10</f>
        <v>Jdos. Violencia contra la mujer</v>
      </c>
      <c r="D10" s="352">
        <f>IF(ISNUMBER((Datos!I10-Datos!S10)/Datos!S10),(Datos!I10-Datos!S10)/Datos!S10," - ")</f>
        <v>0.4391891891891892</v>
      </c>
      <c r="E10" s="348">
        <f>IF(ISNUMBER((Datos!J10-Datos!T10)/Datos!T10),(Datos!J10-Datos!T10)/Datos!T10," - ")</f>
        <v>-0.21621621621621623</v>
      </c>
      <c r="F10" s="348">
        <f>IF(ISNUMBER((Datos!K10-Datos!U10)/Datos!U10),(Datos!K10-Datos!U10)/Datos!U10," - ")</f>
        <v>0.45</v>
      </c>
      <c r="G10" s="349">
        <f>IF(ISNUMBER((Datos!L10-Datos!V10)/Datos!V10),(Datos!L10-Datos!V10)/Datos!V10," - ")</f>
        <v>0.17032967032967034</v>
      </c>
      <c r="H10" s="230">
        <f>IF(ISNUMBER((Datos!M10-Datos!W10)/Datos!W10),(Datos!M10-Datos!W10)/Datos!W10," - ")</f>
        <v>1.4</v>
      </c>
      <c r="I10" s="350">
        <f>IF(ISNUMBER((Tasas!C10-Datos!BE10)/Datos!BE10),(Tasas!C10-Datos!BE10)/Datos!BE10," - ")</f>
        <v>-0.19287608942781351</v>
      </c>
      <c r="J10" s="349">
        <f>IF(ISNUMBER((Tasas!D10-Datos!BF10)/Datos!BF10),(Tasas!D10-Datos!BF10)/Datos!BF10," - ")</f>
        <v>0.65517241379310343</v>
      </c>
      <c r="K10" s="351">
        <f>IF(ISNUMBER((Tasas!E10-Datos!BG10)/Datos!BG10),(Tasas!E10-Datos!BG10)/Datos!BG10," - ")</f>
        <v>-0.15812364088226152</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2.1176470588235294</v>
      </c>
      <c r="I11" s="350">
        <f>IF(ISNUMBER((Tasas!C11-Datos!BE11)/Datos!BE11),(Tasas!C11-Datos!BE11)/Datos!BE11," - ")</f>
        <v>-0.50033745834867238</v>
      </c>
      <c r="J11" s="349">
        <f>IF(ISNUMBER((Tasas!D11-Datos!BF11)/Datos!BF11),(Tasas!D11-Datos!BF11)/Datos!BF11," - ")</f>
        <v>-0.52796937770029562</v>
      </c>
      <c r="K11" s="351">
        <f>IF(ISNUMBER((Tasas!E11-Datos!BG11)/Datos!BG11),(Tasas!E11-Datos!BG11)/Datos!BG11," - ")</f>
        <v>-0.39619281467113643</v>
      </c>
      <c r="M11" t="e">
        <f>IF(Monitorios="SI",Datos!CE11,0)</f>
        <v>#REF!</v>
      </c>
      <c r="N11" t="e">
        <f>IF(Monitorios="SI",Datos!CF11,0)</f>
        <v>#REF!</v>
      </c>
      <c r="O11" t="e">
        <f>IF(Monitorios="SI",Datos!CG11,0)</f>
        <v>#REF!</v>
      </c>
      <c r="P11" t="e">
        <f>IF(Monitorios="SI",Datos!CH11,0)</f>
        <v>#REF!</v>
      </c>
      <c r="Q11">
        <f>IF(J_V="SI",0,Datos!AG11)</f>
        <v>79</v>
      </c>
      <c r="R11">
        <f>IF(J_V="SI",0,Datos!AH11)</f>
        <v>87</v>
      </c>
      <c r="S11">
        <f>IF(J_V="SI",0,Datos!AI11)</f>
        <v>99</v>
      </c>
      <c r="T11">
        <f>IF(J_V="SI",0,Datos!AJ11)</f>
        <v>67</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2.0295081967213116</v>
      </c>
      <c r="I13" s="357">
        <f>IF(ISNUMBER((Tasas!C13-Datos!BE13)/Datos!BE13),(Tasas!C13-Datos!BE13)/Datos!BE13," - ")</f>
        <v>-0.52121153006231491</v>
      </c>
      <c r="J13" s="355">
        <f>IF(ISNUMBER((Tasas!D13-Datos!BF13)/Datos!BF13),(Tasas!D13-Datos!BF13)/Datos!BF13," - ")</f>
        <v>-0.40627555632075063</v>
      </c>
      <c r="K13" s="358">
        <f>IF(ISNUMBER((Tasas!E13-Datos!BG13)/Datos!BG13),(Tasas!E13-Datos!BG13)/Datos!BG13," - ")</f>
        <v>-0.41748209132572245</v>
      </c>
      <c r="M13" t="e">
        <f>IF(Monitorios="SI",Datos!CE13,0)</f>
        <v>#REF!</v>
      </c>
      <c r="N13" t="e">
        <f>IF(Monitorios="SI",Datos!CF13,0)</f>
        <v>#REF!</v>
      </c>
      <c r="O13" t="e">
        <f>IF(Monitorios="SI",Datos!CG13,0)</f>
        <v>#REF!</v>
      </c>
      <c r="P13" t="e">
        <f>IF(Monitorios="SI",Datos!CH13,0)</f>
        <v>#REF!</v>
      </c>
      <c r="Q13">
        <f>IF(J_V="SI",0,Datos!AG13)</f>
        <v>133</v>
      </c>
      <c r="R13">
        <f>IF(J_V="SI",0,Datos!AH13)</f>
        <v>113</v>
      </c>
      <c r="S13">
        <f>IF(J_V="SI",0,Datos!AI13)</f>
        <v>122</v>
      </c>
      <c r="T13">
        <f>IF(J_V="SI",0,Datos!AJ13)</f>
        <v>124</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0.6735598227474151</v>
      </c>
      <c r="E15" s="348">
        <f>IF(ISNUMBER(
   IF(D_I="SI",(Datos!J15-Datos!T15)/Datos!T15,(Datos!J15+Datos!AD15-(Datos!T15+Datos!AL15))/(Datos!T15+Datos!AL15))
     ),IF(D_I="SI",(Datos!J15-Datos!T15)/Datos!T15,(Datos!J15+Datos!AD15-(Datos!T15+Datos!AL15))/(Datos!T15+Datos!AL15))," - ")</f>
        <v>-7.4282498593134502E-2</v>
      </c>
      <c r="F15" s="348">
        <f>IF(ISNUMBER(
   IF(D_I="SI",(Datos!K15-Datos!U15)/Datos!U15,(Datos!K15+Datos!AE15-(Datos!U15+Datos!AM15))/(Datos!U15+Datos!AM15))
     ),IF(D_I="SI",(Datos!K15-Datos!U15)/Datos!U15,(Datos!K15+Datos!AE15-(Datos!U15+Datos!AM15))/(Datos!U15+Datos!AM15))," - ")</f>
        <v>0.34365994236311237</v>
      </c>
      <c r="G15" s="349">
        <f>IF(ISNUMBER(
   IF(D_I="SI",(Datos!L15-Datos!V15)/Datos!V15,(Datos!L15+Datos!AF15-(Datos!V15+Datos!AN15))/(Datos!V15+Datos!AN15))
     ),IF(D_I="SI",(Datos!L15-Datos!V15)/Datos!V15,(Datos!L15+Datos!AF15-(Datos!V15+Datos!AN15))/(Datos!V15+Datos!AN15))," - ")</f>
        <v>0.30561245391233099</v>
      </c>
      <c r="H15" s="230">
        <f>IF(ISNUMBER((Datos!M15-Datos!W15)/Datos!W15),(Datos!M15-Datos!W15)/Datos!W15," - ")</f>
        <v>0.50228310502283102</v>
      </c>
      <c r="I15" s="350">
        <f>IF(ISNUMBER((Tasas!C15-Datos!BE15)/Datos!BE15),(Tasas!C15-Datos!BE15)/Datos!BE15," - ")</f>
        <v>-2.831630775854397E-2</v>
      </c>
      <c r="J15" s="349">
        <f>IF(ISNUMBER((Tasas!D15-Datos!BF15)/Datos!BF15),(Tasas!D15-Datos!BF15)/Datos!BF15," - ")</f>
        <v>0.11805305617784966</v>
      </c>
      <c r="K15" s="351">
        <f>IF(ISNUMBER((Tasas!E15-Datos!BG15)/Datos!BG15),(Tasas!E15-Datos!BG15)/Datos!BG15," - ")</f>
        <v>-1.4200103633946958E-2</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0.25572519083969464</v>
      </c>
      <c r="E17" s="348">
        <f>IF(ISNUMBER(
   IF(D_I="SI",(Datos!J17-Datos!T17)/Datos!T17,(Datos!J17+Datos!AD17-(Datos!T17+Datos!AL17))/(Datos!T17+Datos!AL17))
     ),IF(D_I="SI",(Datos!J17-Datos!T17)/Datos!T17,(Datos!J17+Datos!AD17-(Datos!T17+Datos!AL17))/(Datos!T17+Datos!AL17))," - ")</f>
        <v>4.7619047619047616E-2</v>
      </c>
      <c r="F17" s="348">
        <f>IF(ISNUMBER(
   IF(D_I="SI",(Datos!K17-Datos!U17)/Datos!U17,(Datos!K17+Datos!AE17-(Datos!U17+Datos!AM17))/(Datos!U17+Datos!AM17))
     ),IF(D_I="SI",(Datos!K17-Datos!U17)/Datos!U17,(Datos!K17+Datos!AE17-(Datos!U17+Datos!AM17))/(Datos!U17+Datos!AM17))," - ")</f>
        <v>-0.1</v>
      </c>
      <c r="G17" s="349">
        <f>IF(ISNUMBER(
   IF(D_I="SI",(Datos!L17-Datos!V17)/Datos!V17,(Datos!L17+Datos!AF17-(Datos!V17+Datos!AN17))/(Datos!V17+Datos!AN17))
     ),IF(D_I="SI",(Datos!L17-Datos!V17)/Datos!V17,(Datos!L17+Datos!AF17-(Datos!V17+Datos!AN17))/(Datos!V17+Datos!AN17))," - ")</f>
        <v>0.37404580152671757</v>
      </c>
      <c r="H17" s="230">
        <f>IF(ISNUMBER((Datos!M17-Datos!W17)/Datos!W17),(Datos!M17-Datos!W17)/Datos!W17," - ")</f>
        <v>3.0303030303030304E-2</v>
      </c>
      <c r="I17" s="350">
        <f>IF(ISNUMBER((Tasas!C17-Datos!BE17)/Datos!BE17),(Tasas!C17-Datos!BE17)/Datos!BE17," - ")</f>
        <v>0.52671755725190827</v>
      </c>
      <c r="J17" s="349">
        <f>IF(ISNUMBER((Tasas!D17-Datos!BF17)/Datos!BF17),(Tasas!D17-Datos!BF17)/Datos!BF17," - ")</f>
        <v>0.14478114478114473</v>
      </c>
      <c r="K17" s="351">
        <f>IF(ISNUMBER((Tasas!E17-Datos!BG17)/Datos!BG17),(Tasas!E17-Datos!BG17)/Datos!BG17," - ")</f>
        <v>0.29237288135593215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0.62581770606192766</v>
      </c>
      <c r="E18" s="354">
        <f>IF(ISNUMBER(
   IF(D_I="SI",(Datos!J18-Datos!T18)/Datos!T18,(Datos!J18+Datos!AD18-(Datos!T18+Datos!AL18))/(Datos!T18+Datos!AL18))
     ),IF(D_I="SI",(Datos!J18-Datos!T18)/Datos!T18,(Datos!J18+Datos!AD18-(Datos!T18+Datos!AL18))/(Datos!T18+Datos!AL18))," - ")</f>
        <v>-6.139909411172622E-2</v>
      </c>
      <c r="F18" s="354">
        <f>IF(ISNUMBER(
   IF(D_I="SI",(Datos!K18-Datos!U18)/Datos!U18,(Datos!K18+Datos!AE18-(Datos!U18+Datos!AM18))/(Datos!U18+Datos!AM18))
     ),IF(D_I="SI",(Datos!K18-Datos!U18)/Datos!U18,(Datos!K18+Datos!AE18-(Datos!U18+Datos!AM18))/(Datos!U18+Datos!AM18))," - ")</f>
        <v>0.28535669586983731</v>
      </c>
      <c r="G18" s="355">
        <f>IF(ISNUMBER(
   IF(D_I="SI",(Datos!L18-Datos!V18)/Datos!V18,(Datos!L18+Datos!AF18-(Datos!V18+Datos!AN18))/(Datos!V18+Datos!AN18))
     ),IF(D_I="SI",(Datos!L18-Datos!V18)/Datos!V18,(Datos!L18+Datos!AF18-(Datos!V18+Datos!AN18))/(Datos!V18+Datos!AN18))," - ")</f>
        <v>0.31224565297817242</v>
      </c>
      <c r="H18" s="356">
        <f>IF(ISNUMBER((Datos!M18-Datos!W18)/Datos!W18),(Datos!M18-Datos!W18)/Datos!W18," - ")</f>
        <v>0.44047619047619047</v>
      </c>
      <c r="I18" s="357">
        <f>IF(ISNUMBER((Tasas!C18-Datos!BE18)/Datos!BE18),(Tasas!C18-Datos!BE18)/Datos!BE18," - ")</f>
        <v>2.0919451538032832E-2</v>
      </c>
      <c r="J18" s="355">
        <f>IF(ISNUMBER((Tasas!D18-Datos!BF18)/Datos!BF18),(Tasas!D18-Datos!BF18)/Datos!BF18," - ")</f>
        <v>0.12068206055547838</v>
      </c>
      <c r="K18" s="358">
        <f>IF(ISNUMBER((Tasas!E18-Datos!BG18)/Datos!BG18),(Tasas!E18-Datos!BG18)/Datos!BG18," - ")</f>
        <v>1.6663860804994192E-2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0.55504796710826865</v>
      </c>
      <c r="E19" s="363">
        <f>IF(ISNUMBER(
   IF(J_V="SI",(Datos!J19-Datos!T19)/Datos!T19,(Datos!J19+Datos!Z19-(Datos!T19+Datos!AH19))/(Datos!T19+Datos!AH19))
     ),IF(J_V="SI",(Datos!J19-Datos!T19)/Datos!T19,(Datos!J19+Datos!Z19-(Datos!T19+Datos!AH19))/(Datos!T19+Datos!AH19))," - ")</f>
        <v>0.72356396866840733</v>
      </c>
      <c r="F19" s="363">
        <f>IF(ISNUMBER(
   IF(J_V="SI",(Datos!K19-Datos!U19)/Datos!U19,(Datos!K19+Datos!AA19-(Datos!U19+Datos!AI19))/(Datos!U19+Datos!AI19))
     ),IF(J_V="SI",(Datos!K19-Datos!U19)/Datos!U19,(Datos!K19+Datos!AA19-(Datos!U19+Datos!AI19))/(Datos!U19+Datos!AI19))," - ")</f>
        <v>1.0329171396140748</v>
      </c>
      <c r="G19" s="364">
        <f>IF(ISNUMBER(
   IF(J_V="SI",(Datos!L19-Datos!V19)/Datos!V19,(Datos!L19+Datos!AB19-(Datos!V19+Datos!AJ19))/(Datos!V19+Datos!AJ19))
     ),IF(J_V="SI",(Datos!L19-Datos!V19)/Datos!V19,(Datos!L19+Datos!AB19-(Datos!V19+Datos!AJ19))/(Datos!V19+Datos!AJ19))," - ")</f>
        <v>0.44029105435868171</v>
      </c>
      <c r="H19" s="365">
        <f>IF(ISNUMBER((Datos!M19-Datos!W19)/Datos!W19),(Datos!M19-Datos!W19)/Datos!W19," - ")</f>
        <v>1.3105924596050269</v>
      </c>
      <c r="I19" s="362">
        <f>IF(ISNUMBER((Tasas!C19-Datos!BE19)/Datos!BE19),(Tasas!C19-Datos!BE19)/Datos!BE19," - ")</f>
        <v>-0.29151512066443408</v>
      </c>
      <c r="J19" s="363">
        <f>IF(ISNUMBER((Tasas!D19-Datos!BF19)/Datos!BF19),(Tasas!D19-Datos!BF19)/Datos!BF19," - ")</f>
        <v>-0.14679191103766803</v>
      </c>
      <c r="K19" s="364">
        <f>IF(ISNUMBER((Tasas!E19-Datos!BG19)/Datos!BG19),(Tasas!E19-Datos!BG19)/Datos!BG19," - ")</f>
        <v>-0.20869399663901722</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0.19088661447431168</v>
      </c>
      <c r="E21" s="278">
        <f t="shared" si="1"/>
        <v>0.10825644409011408</v>
      </c>
      <c r="F21" s="278">
        <f t="shared" si="1"/>
        <v>0.23973054691919704</v>
      </c>
      <c r="G21" s="279">
        <f t="shared" si="1"/>
        <v>8.5872104769746688E-2</v>
      </c>
      <c r="H21" s="285">
        <f t="shared" si="1"/>
        <v>0.8849564275271995</v>
      </c>
      <c r="I21" s="277">
        <f t="shared" si="1"/>
        <v>0.38902204436109988</v>
      </c>
      <c r="J21" s="278">
        <f t="shared" si="1"/>
        <v>0.41510204035249315</v>
      </c>
      <c r="K21" s="279">
        <f t="shared" si="1"/>
        <v>0.27446093756304424</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53ELmUYW8vUB0txmLCuwzN3DZJHNUtWtfbn8F8zqYZqL3toMEEmjp/XKmfbwMnSz2ffpCyOTvsYFHrK1nmZgg==" saltValue="9SGjqC3Lugx+A8bNp1n7L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2024-05-29T16:45:46Z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